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0320" windowHeight="6285" activeTab="0"/>
  </bookViews>
  <sheets>
    <sheet name="1." sheetId="1" r:id="rId1"/>
    <sheet name="2a." sheetId="2" r:id="rId2"/>
    <sheet name="2b." sheetId="3" r:id="rId3"/>
    <sheet name="3a." sheetId="4" r:id="rId4"/>
    <sheet name="3b." sheetId="5" r:id="rId5"/>
    <sheet name="Létszám" sheetId="6" r:id="rId6"/>
    <sheet name="Fej.kez. kb beruh" sheetId="7" r:id="rId7"/>
    <sheet name="Fej.kez." sheetId="8" r:id="rId8"/>
    <sheet name=" lakás" sheetId="9" r:id="rId9"/>
    <sheet name="Pénzátad" sheetId="10" r:id="rId10"/>
    <sheet name="Pénzátvét" sheetId="11" r:id="rId11"/>
    <sheet name="Befekt" sheetId="12" r:id="rId12"/>
    <sheet name="Int.beruh.1" sheetId="13" r:id="rId13"/>
    <sheet name="Int.beruh.2" sheetId="14" r:id="rId14"/>
    <sheet name="Felúj.1" sheetId="15" r:id="rId15"/>
    <sheet name="Felúj.2" sheetId="16" r:id="rId16"/>
    <sheet name="Ár és belvízv." sheetId="17" r:id="rId17"/>
    <sheet name="Nemzetk.t." sheetId="18" r:id="rId18"/>
  </sheets>
  <externalReferences>
    <externalReference r:id="rId21"/>
    <externalReference r:id="rId22"/>
    <externalReference r:id="rId23"/>
  </externalReferences>
  <definedNames>
    <definedName name="_xlnm._FilterDatabase" localSheetId="0" hidden="1">'1.'!$A$1:$AH$259</definedName>
    <definedName name="agazat">#N/A</definedName>
    <definedName name="alcim">#N/A</definedName>
    <definedName name="cim">#N/A</definedName>
    <definedName name="efo1">#N/A</definedName>
    <definedName name="efo2">#N/A</definedName>
    <definedName name="efo3">#N/A</definedName>
    <definedName name="efo4">#N/A</definedName>
    <definedName name="eloi">#N/A</definedName>
    <definedName name="fej">#N/A</definedName>
    <definedName name="hit1">#N/A</definedName>
    <definedName name="hit2">#N/A</definedName>
    <definedName name="hit3">#N/A</definedName>
    <definedName name="hit4">#N/A</definedName>
    <definedName name="kim">#N/A</definedName>
    <definedName name="kv1">#N/A</definedName>
    <definedName name="kv2">#N/A</definedName>
    <definedName name="kv3">#N/A</definedName>
    <definedName name="kv4">#N/A</definedName>
    <definedName name="_xlnm.Print_Titles" localSheetId="0">'1.'!$1:$2</definedName>
    <definedName name="_xlnm.Print_Titles" localSheetId="3">'3a.'!$1:$2</definedName>
    <definedName name="_xlnm.Print_Titles" localSheetId="4">'3b.'!$1:$2</definedName>
    <definedName name="_xlnm.Print_Titles" localSheetId="12">'Int.beruh.1'!$1:$9</definedName>
    <definedName name="_xlnm.Print_Titles" localSheetId="13">'Int.beruh.2'!$1:$10</definedName>
    <definedName name="_xlnm.Print_Titles" localSheetId="10">'Pénzátvét'!$8:$9</definedName>
    <definedName name="_xlnm.Print_Area" localSheetId="0">'1.'!$A$1:$AE$248</definedName>
    <definedName name="_xlnm.Print_Area" localSheetId="3">'3a.'!$A$1:$M$95</definedName>
    <definedName name="_xlnm.Print_Area" localSheetId="4">'3b.'!$A$1:$P$41</definedName>
    <definedName name="_xlnm.Print_Area" localSheetId="14">'Felúj.1'!$A$1:$D$48</definedName>
    <definedName name="_xlnm.Print_Area" localSheetId="12">'Int.beruh.1'!$A$1:$D$225</definedName>
    <definedName name="oh1">#N/A</definedName>
    <definedName name="oh2">#N/A</definedName>
    <definedName name="oh3">#N/A</definedName>
    <definedName name="oh4">#N/A</definedName>
    <definedName name="Pénzátvét">#REF!</definedName>
    <definedName name="sf1">#N/A</definedName>
    <definedName name="sf2">#N/A</definedName>
    <definedName name="sf3">#N/A</definedName>
    <definedName name="sf4">#N/A</definedName>
  </definedNames>
  <calcPr fullCalcOnLoad="1"/>
</workbook>
</file>

<file path=xl/sharedStrings.xml><?xml version="1.0" encoding="utf-8"?>
<sst xmlns="http://schemas.openxmlformats.org/spreadsheetml/2006/main" count="2354" uniqueCount="1203">
  <si>
    <t>ezer forintban</t>
  </si>
  <si>
    <t>Összesen</t>
  </si>
  <si>
    <t>A jelű tábla</t>
  </si>
  <si>
    <t>Átlaglétszám és álláshelyek alakulása</t>
  </si>
  <si>
    <t>Betöltött álláshely</t>
  </si>
  <si>
    <t>Üres álláshely</t>
  </si>
  <si>
    <t>Köztisztviselők, közalkalmazottak</t>
  </si>
  <si>
    <t>Teljes munkaidős</t>
  </si>
  <si>
    <t>Részmunkaidős</t>
  </si>
  <si>
    <t>Nyugdíjas</t>
  </si>
  <si>
    <t>Mt. alapján foglalkoztatottak</t>
  </si>
  <si>
    <t>Összes foglalkoztatott</t>
  </si>
  <si>
    <t>Összesen:</t>
  </si>
  <si>
    <t>Átlaglétszám tényleges</t>
  </si>
  <si>
    <t>Minimálbér alapján foglalkoztatottak  felsőfokú végzettségűek</t>
  </si>
  <si>
    <t xml:space="preserve">                                                        középfokú végzettségűek</t>
  </si>
  <si>
    <t>Felsőfokú végzettségű</t>
  </si>
  <si>
    <t>Középfokú végzettségű</t>
  </si>
  <si>
    <t>Alsófokú végzettségű</t>
  </si>
  <si>
    <t>Önkéntes nyugdíjpénztári tagok száma</t>
  </si>
  <si>
    <t>fő</t>
  </si>
  <si>
    <t>Teljesítés</t>
  </si>
  <si>
    <t>C jelű tábla</t>
  </si>
  <si>
    <t>(központi beruházások nélkül)</t>
  </si>
  <si>
    <t>Fejezeti kezelésű előirányzat megnevezése</t>
  </si>
  <si>
    <t>Maradvány</t>
  </si>
  <si>
    <t>Nem feladatfinanszírozásba vont:</t>
  </si>
  <si>
    <t>Feladatfinanszírozásba vont:</t>
  </si>
  <si>
    <t>Előirányzatok összesen</t>
  </si>
  <si>
    <t>D jelű tábla</t>
  </si>
  <si>
    <t>Lakásépítés, lakásvásárlás támogatása</t>
  </si>
  <si>
    <t>Lakásépítési, lakásvásárlási számla nyitó (előző évi záró) egyenlege</t>
  </si>
  <si>
    <t>Saját költségvetési forrásból a lakásépítési keret növelése</t>
  </si>
  <si>
    <t>Saját költségvetésbe visszapótlás miatt a keret csökkentése</t>
  </si>
  <si>
    <t>Visszatörlesztések, kamatok összesen</t>
  </si>
  <si>
    <t>Kezelési költség, egyéb elszámolt kiadások</t>
  </si>
  <si>
    <t>Lakásépítési, lakásvásárlási számla záró egyenlege</t>
  </si>
  <si>
    <t>Módosított előirányzat</t>
  </si>
  <si>
    <t>E jelű tábla</t>
  </si>
  <si>
    <t>Átadott pénzeszközök</t>
  </si>
  <si>
    <t>Átvevő intézmény, szervezet, fejezeti kezelésű előirányzat megnevezése</t>
  </si>
  <si>
    <t>Átadott pénzeszköz célja, rendeltetése</t>
  </si>
  <si>
    <t>Összege</t>
  </si>
  <si>
    <t>1. Működési célra átadott pénzeszközök fejezeten belül</t>
  </si>
  <si>
    <t>2. Működési célra átadott pénzeszközök fejezeten kívülre</t>
  </si>
  <si>
    <t>3. Felhalmozási célra átadott pénzeszközök fejezeten belül</t>
  </si>
  <si>
    <t>4. Felhalmozási célra átadott pénzeszközök fejezeten kívülre</t>
  </si>
  <si>
    <t>Átvett pénzeszközök</t>
  </si>
  <si>
    <t>F/1 jelű tábla</t>
  </si>
  <si>
    <t>Átadó intézmény, szervezet, fejezeti kezelésű előirányzat megnevezése</t>
  </si>
  <si>
    <t>Átvett pénzeszköz célja, rendeltetése</t>
  </si>
  <si>
    <t>1. Működési célra átvett pénzeszközök fejezeten belül</t>
  </si>
  <si>
    <t>3. Felhalmozási célra átvett pénzeszközök fejezeten belül</t>
  </si>
  <si>
    <t>4. Felhalmozási célra átvett pénzeszközök fejezeten kívül</t>
  </si>
  <si>
    <t>Vállalkozási tevékenység bevételeinek bemutatása</t>
  </si>
  <si>
    <t>Jogcím, feladat (szerződés) megnevezése</t>
  </si>
  <si>
    <t>Bevétel összege</t>
  </si>
  <si>
    <t>F/3 jelű tábla</t>
  </si>
  <si>
    <t>Ingatlanok értékesítése</t>
  </si>
  <si>
    <t>Ingatlan neve, címe</t>
  </si>
  <si>
    <t>Értékesítés teljes összege</t>
  </si>
  <si>
    <t>Ebből</t>
  </si>
  <si>
    <t>G jelű tábla</t>
  </si>
  <si>
    <t>Befektetett eszközökkel kapcsolatos befizetési kötelezettség elszámolása</t>
  </si>
  <si>
    <t>Értékesí-tés teljes összege</t>
  </si>
  <si>
    <t>Befizetési kötelezett-ség összege</t>
  </si>
  <si>
    <t>(Befizetési kötelezettség alóli mentesség esetén annak dokumentumát csatolni kell)</t>
  </si>
  <si>
    <r>
      <t>F</t>
    </r>
    <r>
      <rPr>
        <sz val="12"/>
        <rFont val="Times New Roman CE"/>
        <family val="1"/>
      </rPr>
      <t>/2</t>
    </r>
    <r>
      <rPr>
        <i/>
        <sz val="12"/>
        <rFont val="Times New Roman CE"/>
        <family val="1"/>
      </rPr>
      <t xml:space="preserve"> jelű tábla</t>
    </r>
  </si>
  <si>
    <t>Ingatlan neve, címe, tárgyi eszköz megnevezése</t>
  </si>
  <si>
    <t>Intézményi beruházási kiadások előirányzatából megvalósított beruházások</t>
  </si>
  <si>
    <t>(5. ürlap 13+27 sor, 5. oszlop)</t>
  </si>
  <si>
    <t>Felújítások előirányzatának felhasználása</t>
  </si>
  <si>
    <t>Személyi juttatások</t>
  </si>
  <si>
    <t>Dologi kiadások</t>
  </si>
  <si>
    <t>Intézményi beruházási kiadások</t>
  </si>
  <si>
    <t>Felújítás</t>
  </si>
  <si>
    <t>(5. ürlap 6. sor, 5. oszlop)</t>
  </si>
  <si>
    <t>J jelű tábla</t>
  </si>
  <si>
    <t>Ár és belvízvédelmi művek fenntartására fordított költségvetési források</t>
  </si>
  <si>
    <t>Kiemelt előirányzat megnevezése</t>
  </si>
  <si>
    <t>Munkaadókat terhelő járulékok</t>
  </si>
  <si>
    <t>Saját költségvetésből</t>
  </si>
  <si>
    <t>Más költségvetési forrásból (forrásonként részletezve)</t>
  </si>
  <si>
    <t>A feladatfinanszírozásba vont előirányzat neve mellé kérjük a feladat/részfeladat számát is feltüntetni.</t>
  </si>
  <si>
    <t>Tájékoztató az elnyert nemzetközi pályázatok alapján felhasznált pénzösszegekről</t>
  </si>
  <si>
    <t>ebből önrész</t>
  </si>
  <si>
    <t>Projekt megnevezése/célja</t>
  </si>
  <si>
    <t>Nemz.tám..</t>
  </si>
  <si>
    <t>Önrész</t>
  </si>
  <si>
    <t>A részmunkaidős és nyugdíjas létszámnak valamennyi cellában teljes munkaidősre átszámítva kell szerepelnie.</t>
  </si>
  <si>
    <t>Bruttó összeg</t>
  </si>
  <si>
    <t>Következő évek ütemezése</t>
  </si>
  <si>
    <t>Megvalósítás kezdete, befejezése</t>
  </si>
  <si>
    <t>Nemzetközi pályázati forrás megnevezése</t>
  </si>
  <si>
    <t>Pénzügyi teljesítés</t>
  </si>
  <si>
    <t>adatok ezer forintban</t>
  </si>
  <si>
    <t>(8. ürlap 2-3 sorához)</t>
  </si>
  <si>
    <t>(3. ürlap 50. sor, 5. oszlopához)</t>
  </si>
  <si>
    <t>Működésre átadott pénzeszközök</t>
  </si>
  <si>
    <t>Felhalmozásra átadott pénzeszközök</t>
  </si>
  <si>
    <t xml:space="preserve"> - a) Támogatásértékű működési kiadások</t>
  </si>
  <si>
    <t xml:space="preserve"> - b) Működési célú előirányzat maradvány átadás</t>
  </si>
  <si>
    <t xml:space="preserve"> - b) ÁHT-n kívüli működési célú pénzeszköz átadás</t>
  </si>
  <si>
    <t xml:space="preserve"> - a) Támogatásértékű felhalmozási kiadások</t>
  </si>
  <si>
    <t xml:space="preserve"> - b) Felhalmozási célú előirányzat maradvány átadás</t>
  </si>
  <si>
    <t xml:space="preserve"> - b) ÁHT-n kívüli felhalmozási célú pénzeszköz átadás</t>
  </si>
  <si>
    <t xml:space="preserve"> - a) Támogatásértékű működési bevételek</t>
  </si>
  <si>
    <t xml:space="preserve"> - b) Működési célú előirányzat maradvány átvétel</t>
  </si>
  <si>
    <t>2. Működési célra átvett pénzeszközök fejezeten kívülről</t>
  </si>
  <si>
    <t xml:space="preserve"> -b) ÁHT-n kívüli működési célú pénzeszköz átvétel</t>
  </si>
  <si>
    <t xml:space="preserve"> - a) Támogatásértékű felhalmozási bevételek</t>
  </si>
  <si>
    <t xml:space="preserve"> - b) Felhalmozási célú előirányzat maradvány átvétel</t>
  </si>
  <si>
    <t xml:space="preserve"> -b) ÁHT-n kívüli felhalmozási célú pénzeszköz átvétel</t>
  </si>
  <si>
    <t>2009. évben</t>
  </si>
  <si>
    <t>Nemz.tám.</t>
  </si>
  <si>
    <t>I jelű tábla</t>
  </si>
  <si>
    <t>2010. évben</t>
  </si>
  <si>
    <t>Kölcsönök állománya 2010. XII. 31-én</t>
  </si>
  <si>
    <t>2010       I. 1.</t>
  </si>
  <si>
    <t>2010. XII. 31.</t>
  </si>
  <si>
    <t>Köztisztviselők illetménybeállási %-a 2010. XII. 31.</t>
  </si>
  <si>
    <t>Iskolai végzettség szerint 2010. XII. 31-én</t>
  </si>
  <si>
    <t>Fejezeti kezelésű előirányzatoktól 2010. évben átvett feladatok</t>
  </si>
  <si>
    <t>B jelű tábla</t>
  </si>
  <si>
    <t>2009 XII.31-ig befolyt</t>
  </si>
  <si>
    <t>2010. évben befolyt</t>
  </si>
  <si>
    <t>2010. évet követően esedékes</t>
  </si>
  <si>
    <t>2009 XII.31-ig befizetve</t>
  </si>
  <si>
    <t>2010. évben befizetve</t>
  </si>
  <si>
    <t>2010. után esedékes</t>
  </si>
  <si>
    <t>központi beruházások feladatra</t>
  </si>
  <si>
    <t xml:space="preserve">2010. előtt </t>
  </si>
  <si>
    <t xml:space="preserve">2011. évben biztosítandó </t>
  </si>
  <si>
    <t xml:space="preserve">2011. utáni években biztosítandó </t>
  </si>
  <si>
    <t>Költségvetési szerv neve: MGSZH</t>
  </si>
  <si>
    <t>Önkéntes nyugdíjpénztári tagok részére fizetett munkáltatói támogatás 2010. évben *</t>
  </si>
  <si>
    <t>* ebből 16.800 ezer Ft adomány a működési alap javára.</t>
  </si>
  <si>
    <t>nemleges</t>
  </si>
  <si>
    <t>NEMLEGES</t>
  </si>
  <si>
    <t>Állami génmegőrzés támogatása</t>
  </si>
  <si>
    <t>Parlagfű elleni közérdekű védekezés támogatása</t>
  </si>
  <si>
    <t>Osztatlan földtulajdon kimérésének költségei</t>
  </si>
  <si>
    <t>Bormarketing és minőség-ellenőrzés</t>
  </si>
  <si>
    <t>Egyes állatbetegségek megelőzésének és felszám.támog.</t>
  </si>
  <si>
    <t>Folyó kiadások és jövedelemtámogatások</t>
  </si>
  <si>
    <t>Állat- és növénykártalanítás</t>
  </si>
  <si>
    <t>ÚMVP TS</t>
  </si>
  <si>
    <t>2010. évi kifizetések 28 fő részére összesen:</t>
  </si>
  <si>
    <t>*</t>
  </si>
  <si>
    <t>A beintegrálódó szakig. szervek megszűnő előirányzat-felhasználási keretszámlái egyenlegének beutalása</t>
  </si>
  <si>
    <t>Földmérési és távérzékelési Intézet</t>
  </si>
  <si>
    <t>Megállapodás alapján OTKA ORTOFOTÓ pályázat</t>
  </si>
  <si>
    <t>Növényi Diverzitás Központ</t>
  </si>
  <si>
    <t>NÖDIK működésére megállapodás alapján</t>
  </si>
  <si>
    <t>Aggteleki Nemzeti Park Igazgatósága</t>
  </si>
  <si>
    <t>Megállapodás alapján Life+ projekt terhére Pannon megbank létrehozására</t>
  </si>
  <si>
    <t>MTA Ökológiai és Botanikai Kutató Intézet</t>
  </si>
  <si>
    <t>Települési önkormányzatok</t>
  </si>
  <si>
    <t>Parlagfű elleni közérdekű védekezés ktg-ek megtérítése</t>
  </si>
  <si>
    <t>Közcélú munkavégzés támogatása (Nógrád megye)</t>
  </si>
  <si>
    <t>Gazdasági társaságok</t>
  </si>
  <si>
    <t>Szalmonella oltóanyag költségtérítés, kárenyhítés 38/2009.(IV.08.) FVM r. és 45/2010.(IV.23.)FVM r.alapján</t>
  </si>
  <si>
    <t>Georgikon Alapítvány</t>
  </si>
  <si>
    <t>Herbológiai feladatok támogatása VM feladatterv alapján (Fejér megye)</t>
  </si>
  <si>
    <t>Kontakt Humán Szolgáltató Nonpr.</t>
  </si>
  <si>
    <t>Közcélú munkavégzés támogatása (Zala megye)</t>
  </si>
  <si>
    <t>Magyar Tejgazdasági Kísérleti Intézet</t>
  </si>
  <si>
    <t>Aranykorona Önkéntes Nyugdíjpénztár</t>
  </si>
  <si>
    <t>Adomány megállapodás szerint</t>
  </si>
  <si>
    <t>Európai Élelmiszerlánc Parlament</t>
  </si>
  <si>
    <t>Világhéten való részvétel</t>
  </si>
  <si>
    <t>Élelmiszerelőállítás, -biztonság rendezvény</t>
  </si>
  <si>
    <t>Magyar Állatorvosok Világszervezete</t>
  </si>
  <si>
    <t>Megállapodás alapján határon átnyúló kapcsolatok, együttműködést szolgáló rendezvények</t>
  </si>
  <si>
    <t>Magán Erdőtulajdonosok és Gazdálkodók Országos Szövetsége</t>
  </si>
  <si>
    <t>Magánerdő gazdálkodás rendezvény támogatása</t>
  </si>
  <si>
    <t>Magyar Fajtatiszta Sertést Tenyésztők Egyesülete</t>
  </si>
  <si>
    <t>Működési költségek támogatása</t>
  </si>
  <si>
    <t>Magánszemélyek</t>
  </si>
  <si>
    <t>Osztatlan közös tulajdon</t>
  </si>
  <si>
    <t>Aranykorona kártalanítás</t>
  </si>
  <si>
    <t>Nemleges</t>
  </si>
  <si>
    <t>Ingatlan értékesítés: A könyvelt összegek szolgálati lakás lakbér térítéseiből származnak</t>
  </si>
  <si>
    <t>Termőföld értékesítés: Téves könyveléssel ide került összegek</t>
  </si>
  <si>
    <t>II.</t>
  </si>
  <si>
    <t>II/1.a</t>
  </si>
  <si>
    <t>Általános keret</t>
  </si>
  <si>
    <t>Megnevezés</t>
  </si>
  <si>
    <t>Bruttó / Ft</t>
  </si>
  <si>
    <t>Elnök és elnöki titkárság</t>
  </si>
  <si>
    <t>Elektromos mérőhely kialakítása - számítógépterem kialakításához</t>
  </si>
  <si>
    <t>Agrárpiac-ellenőrzési Önálló Osztály</t>
  </si>
  <si>
    <t>Multifunkciós készülék Xerox PHASER 6128</t>
  </si>
  <si>
    <t>Növénytermesztési és Kertészeti Igazgatóság / Minősítésfelügyeleti Osztály</t>
  </si>
  <si>
    <t>Asztali számítógép</t>
  </si>
  <si>
    <t>Növénytermesztési és Kertészeti / Szőlő-Gyümölcs Szaporítóanyag Fel. Oszt</t>
  </si>
  <si>
    <t>Nikon Laser 800S távolságmérő 3 db (349G018316-318)</t>
  </si>
  <si>
    <t>Állattenyésztési Igazgatóság / Tenyésztési Hatósági osztály</t>
  </si>
  <si>
    <t>1 db Laptop lelt.: 349017021 Lengyel Zsolt</t>
  </si>
  <si>
    <t>Földművelésügyi Igazgatóság / Agrobotanikai Osztály</t>
  </si>
  <si>
    <t>Oleomac 755 M fűkasza vásá</t>
  </si>
  <si>
    <t>MTZ-1221.3 pótkocsi vonószerk.</t>
  </si>
  <si>
    <t>Erdészeti Igazgatóság / Nyilvántartási és Térképészeti O.</t>
  </si>
  <si>
    <t>EAK9-00399 OCÉ Cs 4336 color scanner</t>
  </si>
  <si>
    <t>Informatikai Igazgatóság</t>
  </si>
  <si>
    <t>Licencek MS-EA 3 éves (349I011814)</t>
  </si>
  <si>
    <t>TOAD for Oracle (349G018001)</t>
  </si>
  <si>
    <t>OÁIR-Informix licence + support 12 hónapra (349I</t>
  </si>
  <si>
    <t>Gépi interface szoftver</t>
  </si>
  <si>
    <t>Gépi interface szoftver közb.díj</t>
  </si>
  <si>
    <t>Net regiszter 4x25 user (3491000125)</t>
  </si>
  <si>
    <t>Szerver szoba kiépítése Kitaibel P.u. gépterem (L-35)</t>
  </si>
  <si>
    <t>42 U ajtós zárható rackszekrény (349G016733)</t>
  </si>
  <si>
    <t>HP 8540w notebook (349G017164)</t>
  </si>
  <si>
    <t>HP Notebook 3 db (349GG017161-17163)</t>
  </si>
  <si>
    <t>Külső winchester 168 GB (349G017999)</t>
  </si>
  <si>
    <t>Netbook Presario mini CQ10-120SH 3 db (349G018112-114)</t>
  </si>
  <si>
    <t>Gépterem áramfejlesztő (349G018014)</t>
  </si>
  <si>
    <t>Informatikai áramfejlesztő kialakítása ((349G018014)</t>
  </si>
  <si>
    <t>Vagyongazdálkodási és Üzemeltetési Igazgatóság  / Zamárdi</t>
  </si>
  <si>
    <t>Kerti játék - "dzsungel" kétüléses hinta  (349G016980)</t>
  </si>
  <si>
    <t>Kerti játék - dzsungel torony csúszdával (349G016981)</t>
  </si>
  <si>
    <t>Gázzsámoly (349G016728)</t>
  </si>
  <si>
    <t>Melegentartó (349G016727)</t>
  </si>
  <si>
    <t xml:space="preserve">Vagyongazdálkodási és Üzemeltetési Igazgatóság  </t>
  </si>
  <si>
    <t>Használt tehergépkocsi Nissan Navarra KNJ-729 (349J001870)</t>
  </si>
  <si>
    <t>Élelmiszer- és Takarmánybiztonsági Igazgatóság / Élelmiszer Analitikai Nemzeti Ref. Lab</t>
  </si>
  <si>
    <t>ÉTBI BioTek elisa fotométer (lsz: 349G018259)</t>
  </si>
  <si>
    <t>Élelmiszer- és Takarmánybiztonsági Igazgatóság / Élelmiszer Toxikológiai Nemzeti Ref. Lab</t>
  </si>
  <si>
    <t>ÉTBI Nitrogén Foszfor szelektív detektor (lsz:349G002425)</t>
  </si>
  <si>
    <t>Élelmiszer- és Takarmánybiztonsági Igazgatóság / Takarmányvizsgáló Nemzeti Ref. Lab</t>
  </si>
  <si>
    <t>ÉTBI Rázógép besz. (349G018182)</t>
  </si>
  <si>
    <t>ÉTBI olajmentes kompresszor Lsz:349G016929</t>
  </si>
  <si>
    <t>Állategészségügyi Diagnosztikai Igazgatóság / Debrecen</t>
  </si>
  <si>
    <t>CANON IR2018i másológép 349G017037</t>
  </si>
  <si>
    <t>Állategészségügyi Diagnosztikai Igazgatóság / Igazgatási és Minőségirányitási Osztály</t>
  </si>
  <si>
    <t>VTB 3000 Thermobile hőlégbefúvó</t>
  </si>
  <si>
    <t>Egymedencés ipari mosogató 349G016730</t>
  </si>
  <si>
    <t>Állategészségügyi Diagnosztikai Igazgatóság / Labotratóriumok</t>
  </si>
  <si>
    <t>Gázégő lábpedállal 349G016930</t>
  </si>
  <si>
    <t>Állatgyógyászati Termékek Igazgatósága / Oltóanyag Osztály</t>
  </si>
  <si>
    <t>Gödöllő szennyvizcsatorna kiépítése EAK0-00309</t>
  </si>
  <si>
    <t>ÍGödöllő termoventillátor</t>
  </si>
  <si>
    <t>Állatgyógyászati Terméklek Igazgatósága / Gyógyszer Analitikai Laboratórium</t>
  </si>
  <si>
    <t>EAK0-00304 Kémiai vákuum szivattyú</t>
  </si>
  <si>
    <t>Gödöllő 200 l vízmelegítő létesítése  EAK0-00335</t>
  </si>
  <si>
    <t>Állatgyógyászati Termékek Igazgatósága</t>
  </si>
  <si>
    <t>Keringtető szivattyú  anal.hiv.:81838</t>
  </si>
  <si>
    <t xml:space="preserve"> Jogi és Humánpolitikai Igazgatóság</t>
  </si>
  <si>
    <t>Kézipolcos állványrendszer 349G018155</t>
  </si>
  <si>
    <t>MINDÖSSZESEN</t>
  </si>
  <si>
    <t>II/1.b</t>
  </si>
  <si>
    <t>TB-Step 212414 - ÁDI 2010</t>
  </si>
  <si>
    <t>Bagmixer 100 W CC-349G018163</t>
  </si>
  <si>
    <t>Thermal Cycler 349G018289</t>
  </si>
  <si>
    <t>ELMA Ultrahangos fürdő 349G018290</t>
  </si>
  <si>
    <t xml:space="preserve">Összesen </t>
  </si>
  <si>
    <t>II/1.c</t>
  </si>
  <si>
    <t>Génbanki nyilvánt. és magtár.fejl. 5 M Ft</t>
  </si>
  <si>
    <t>PC+Windows 7 prof.</t>
  </si>
  <si>
    <t>Flex Szerver</t>
  </si>
  <si>
    <t>II/1.d</t>
  </si>
  <si>
    <t>EMEA 2010</t>
  </si>
  <si>
    <t>Szállás u talajvíz szivattyú el vezérlés kiépítés</t>
  </si>
  <si>
    <t>II/1.e</t>
  </si>
  <si>
    <t>10T023 Ingatlanügyletek</t>
  </si>
  <si>
    <t>Vagyongazdálkodási és Üzemeltetési Igazgatóság / Gépjármű-gazdálkodási és Üzemeltetési Osztály</t>
  </si>
  <si>
    <t>Beléptető rendszer bővítése (349G003673)</t>
  </si>
  <si>
    <t>II/1.f</t>
  </si>
  <si>
    <t>10T033 Kárelhárítás,helyreállítás</t>
  </si>
  <si>
    <t>Borászati Igazgatóság</t>
  </si>
  <si>
    <t>Tűzjelző bővítés bev.biz.:EAKO-00329</t>
  </si>
  <si>
    <t>II/1.g</t>
  </si>
  <si>
    <t>10T103 Társadalmi kapcsolatok (PR),kommunikáció</t>
  </si>
  <si>
    <t>Elnök és Elnöki Titkárság</t>
  </si>
  <si>
    <t>MGSZH stratégiai tervdokumentáció (349I011830)</t>
  </si>
  <si>
    <t>II/1.h</t>
  </si>
  <si>
    <t>10T125 Informatikai fejlesztés</t>
  </si>
  <si>
    <t>Számítógépterem kivitelezés (L-35)</t>
  </si>
  <si>
    <t>Szerver szoba Kitaibel P.u. gépterem (L-35)</t>
  </si>
  <si>
    <t>Procurve switch (349G016732)</t>
  </si>
  <si>
    <t>24V zárható szekrény (349G016731)</t>
  </si>
  <si>
    <t>Albacomp Act. Standard Solid számítógép (349G017031)</t>
  </si>
  <si>
    <t>HP Notebook (349G016936)</t>
  </si>
  <si>
    <t>Rack szekrény 4 db (349G016549-52)</t>
  </si>
  <si>
    <t>Telefon alközpont bővítése (349G018118)</t>
  </si>
  <si>
    <t>Informatikai hálózat bővítés (349G017998)</t>
  </si>
  <si>
    <t>VPN bővítés, eszközök telepítése, konfigurálása (349G017998)</t>
  </si>
  <si>
    <t>Erdészeti Igazgatóság</t>
  </si>
  <si>
    <t>HP dx 7500 PC 27 db (349G016572-16598)</t>
  </si>
  <si>
    <t>EAK0-00169  Albakomp aktívia 1 db</t>
  </si>
  <si>
    <t>10T125 Informatikai fejlesztés mindösszesen</t>
  </si>
  <si>
    <t>II/1.i</t>
  </si>
  <si>
    <t>10T133 Pótlólagos beruházások</t>
  </si>
  <si>
    <t>Vagyongazdálkodási és Üzemeltetési Igazgatóság</t>
  </si>
  <si>
    <t>Budaőrsi épület előadóterem korszerűsítés tanulmányterve (349I011813)</t>
  </si>
  <si>
    <t>Földművelésügyi Igazgatóság / Vízgazdálkodási Oszt</t>
  </si>
  <si>
    <t>46 db.laptop 349G016820-349G016865-ig,</t>
  </si>
  <si>
    <t>Növény-,talaj- és erdővédelmi Elnökhelyettes</t>
  </si>
  <si>
    <t>Notebook 3 db (349G016817-16819)</t>
  </si>
  <si>
    <t>Takarmányvizsgáló Nemzeti Ref. Lab</t>
  </si>
  <si>
    <t>ÉTBI ultrahangos kád Lsz:349G016924</t>
  </si>
  <si>
    <t>10T133 Pótlólagos beruházások mindösszesen</t>
  </si>
  <si>
    <t>II/1.j</t>
  </si>
  <si>
    <t>Gépkocsi-flotta üzemeltetése</t>
  </si>
  <si>
    <t>LSC-266 Ford tranzit hard top (349G018297)</t>
  </si>
  <si>
    <t>LSC-216 Ford tranzit hard top (349G018298)</t>
  </si>
  <si>
    <t>LSC-244 Ford tranzit hard top (349G018294)</t>
  </si>
  <si>
    <t>LSC-242 Ford tranzit hard top (349G018296)</t>
  </si>
  <si>
    <t>Használt tehergépkocsi Ford Ranger LFZ-608 (349J001869)</t>
  </si>
  <si>
    <t xml:space="preserve">Vagyongazdálkodási és Üzemeltetési Igazgatóság </t>
  </si>
  <si>
    <t>Használt tehergépkocsi Opel Movano IJZ-783 (349J001871)</t>
  </si>
  <si>
    <t>Használt tehergépkocsi Ford Transit HOB-780 (349J001872)</t>
  </si>
  <si>
    <t>Használt tehergépkocsi VW Transporter HKS-442 (349J001873</t>
  </si>
  <si>
    <t>Használt tehergépkocsi Mazda E2200D GYS-805 (349J001874</t>
  </si>
  <si>
    <t>Használt tehergépkocsi Toyota Hilux EPE-538 (349J001875</t>
  </si>
  <si>
    <t>Használt tehergépkocsi Mitsubishi Canter DPC-535 (349J001876</t>
  </si>
  <si>
    <t>Gépkocsi -flotta mindösszesen</t>
  </si>
  <si>
    <t>II/1.k</t>
  </si>
  <si>
    <t>10T164 2009-ről áthúzódó kötelezettségek+maradvány</t>
  </si>
  <si>
    <t>Forrás SQL szakrendszeri integrációs modul</t>
  </si>
  <si>
    <t>Szerződésnyilvántartás modul (349I011735)</t>
  </si>
  <si>
    <t>Symc Multi-Tier Protection vírusírtó szoftver (349I000312)</t>
  </si>
  <si>
    <t>Számítógépterem tűzvédelmi kialakítása L-35</t>
  </si>
  <si>
    <t>Számítógépterem építészeti kialakítása (349G016507)</t>
  </si>
  <si>
    <t>Teny-i Szerv-i és Teljesítményvizsg O.</t>
  </si>
  <si>
    <t>OLIR fejlesztés javítás</t>
  </si>
  <si>
    <t>Élelmiszer Toxikológiai Nemzeti Ref. Lab</t>
  </si>
  <si>
    <t>ÉTBI hűtőgép vás. (Lsz:349G016104)</t>
  </si>
  <si>
    <t>Kazán csere - Remény u. (349G016485)</t>
  </si>
  <si>
    <t>Keleti K.u. I.em. iroda átalakítása</t>
  </si>
  <si>
    <t>Földművelésügyi Igazgatóság / Vadászati és Halászati Osztály</t>
  </si>
  <si>
    <t>Benq MP523 projektor + vetítővászon (349G016492)</t>
  </si>
  <si>
    <t>10T164 2009-ről áthúzódó kötelezettségek+maradvány mindösszesen</t>
  </si>
  <si>
    <t>II/1.l</t>
  </si>
  <si>
    <t xml:space="preserve">10T164 2009-ről áthúzódó kötelezettségek+maradvány                      Futmon Life07 ENV/D/00218 </t>
  </si>
  <si>
    <t>Erdőleltározási, Erdővéd-i és Szab. O.</t>
  </si>
  <si>
    <t>0035432/7342 SPSS szoftver</t>
  </si>
  <si>
    <t>II/1.m</t>
  </si>
  <si>
    <t>10T164 2009-ről áthúzódó kötelezettségek+maradvány        Növényi génmegörzés - ABK</t>
  </si>
  <si>
    <t>agregátor felujítása</t>
  </si>
  <si>
    <t>Zanotti hűtőblokk 3 db Egyéb gépek, berendezések és felsz. vásá</t>
  </si>
  <si>
    <t>1 db GRUDFOS IVÓVIZSZIVATTYÚ vásálás</t>
  </si>
  <si>
    <t>GB LINE Príma 3 vasú függ. eke vásá</t>
  </si>
  <si>
    <t>II/2.</t>
  </si>
  <si>
    <t>VPOP KM-1.2.2-07-2008-0001 számú projekt</t>
  </si>
  <si>
    <t>Bruttó/Ft</t>
  </si>
  <si>
    <t>Élelmiszerlánc-biztonsági és Állategészségügyi Elnökhelyettes</t>
  </si>
  <si>
    <t>VPOP/MS Windows Vista Business</t>
  </si>
  <si>
    <t>SI9109-00460 CISCO ASA5510-BUN-K9</t>
  </si>
  <si>
    <t>SI9209-02709 3COM Switch 4210 L2</t>
  </si>
  <si>
    <t>Szellemi termékek vásárlása</t>
  </si>
  <si>
    <t>Egyéb gépek, berendezések és felsz. vásá</t>
  </si>
  <si>
    <t>Infokommunikációs eszk. VPOP projekt/ részteljesítés</t>
  </si>
  <si>
    <t>VPOP pályázat mindösszesen</t>
  </si>
  <si>
    <t>II/3.</t>
  </si>
  <si>
    <t>EKOP KM-1.2.5-2008-0001 számú projekt</t>
  </si>
  <si>
    <t>Kölcsönös Megfeletetés Osztály</t>
  </si>
  <si>
    <t>Licensz /Analitikai és Jelentéskészítő rendszer bevezetés</t>
  </si>
  <si>
    <t>Horizontális Fejlesztések Igazgatósága</t>
  </si>
  <si>
    <t>Vagyoni értékű jogok vásárlása</t>
  </si>
  <si>
    <t>KM-Keretrendszer adaptált szoftverkomponensek állományai</t>
  </si>
  <si>
    <t>Work Flow alaprendszer -licensz (EKOP projekt) száll.fin.</t>
  </si>
  <si>
    <t>Work Flow alaprendszer -licensz (EKop projekt)száll.fin.</t>
  </si>
  <si>
    <t>Informatikai szolgáltatás EKOP projekt /szállítói finanszírozás</t>
  </si>
  <si>
    <t>Informatikai eszközök és szolg./EKOP projekt - szállítói finanszírozás</t>
  </si>
  <si>
    <t>Informatikai eszközök/EKOP projekt - szállítói finanszírozás</t>
  </si>
  <si>
    <t>Informatikai tanácsadás (részteljesítés) EKOP projekt</t>
  </si>
  <si>
    <t>informatikai szolgáltatás/EKOP projekt-szállítói finanszírozás</t>
  </si>
  <si>
    <t>KM-EKOP/ installálás, konfigurálás, paraméterezés</t>
  </si>
  <si>
    <t>Egyéb kommunikációs szolgáltatások</t>
  </si>
  <si>
    <t>LAN hálózat fejlesztése (EKOP projekt) (száll.fin.)</t>
  </si>
  <si>
    <t>Hálózat menedzsment kialakítása (EKOP projekt/száll.fin.)</t>
  </si>
  <si>
    <t>EKOP pályázat mindösszesen</t>
  </si>
  <si>
    <t>II/4.</t>
  </si>
  <si>
    <t>2009 évi. Maradvány</t>
  </si>
  <si>
    <t>Állategészségügyi és Állatvédelmi Igazgatóság</t>
  </si>
  <si>
    <t>EAK0-00131 Leonova szg</t>
  </si>
  <si>
    <t>BERUHÁZÁS MINDÖSSZESEN</t>
  </si>
  <si>
    <t>G jelű tábla 1.</t>
  </si>
  <si>
    <t>III.</t>
  </si>
  <si>
    <t>BERUHÁZÁS</t>
  </si>
  <si>
    <t>III/1.</t>
  </si>
  <si>
    <t>Bruttó</t>
  </si>
  <si>
    <t>Békés Megyei Földművelésügyi Igazgatóság</t>
  </si>
  <si>
    <t>Álmennyezet kialakítása</t>
  </si>
  <si>
    <t>Békés Megyei Élelmiszerlánc-biztonsági és Állategészségügyi Igazgatóság</t>
  </si>
  <si>
    <t>Informatikai eszköz beszerzés</t>
  </si>
  <si>
    <t>Győr Megyei Növény-és Talajvédelmi Igazgatóság</t>
  </si>
  <si>
    <t>Szoftverbeszerzés</t>
  </si>
  <si>
    <t>Győr Megyei Élelmiszerlánc-biztonsági és Állategészségügyi Igazgatóság</t>
  </si>
  <si>
    <t>Kirendeltségre eszköz beszerzés</t>
  </si>
  <si>
    <t>Gk. lízingdíj</t>
  </si>
  <si>
    <t>Főváros és Pest Megyei Élelmiszerlánc-biztonsági és Állategészségügyi Igazgatóság</t>
  </si>
  <si>
    <t>Gépkocsi beszerzés (igazgatónak)</t>
  </si>
  <si>
    <t>Váci kerületi főáo.hivatal (MNV Zrt. 2009)</t>
  </si>
  <si>
    <t>Vas  Megyei Földművelésügyi Igazgatóság</t>
  </si>
  <si>
    <t>Motoros fűrész beszerzés</t>
  </si>
  <si>
    <t>III/2.</t>
  </si>
  <si>
    <t>Parlagfű meg nem térülő kiadások 2010</t>
  </si>
  <si>
    <t>Baranya Megyei Növény-és Talajvédelmi Igazgatóság</t>
  </si>
  <si>
    <t>Parlagfű XII-509/2010. VM feladatterv eszk. beszerzés</t>
  </si>
  <si>
    <t>Borsod Megyei Növény-és Talajvédelmi Igazgatóság</t>
  </si>
  <si>
    <t>Fejér Megyei Növény-és Talajvédelmi Igazgatóság</t>
  </si>
  <si>
    <t>Komárom Megyei Növény-és Talajvédelmi Igazgatóság</t>
  </si>
  <si>
    <t>Nógrád Megyei Növény-és Talajvédelmi Igazgatóság</t>
  </si>
  <si>
    <t>Főváros és Pest Megyei Növény-és Talajvédelmi Igazgatóság</t>
  </si>
  <si>
    <t>Somogy Megyei Növény-és Talajvédelmi Igazgatóság</t>
  </si>
  <si>
    <t>Szabolcs Megyei Növény-és Talajvédelmi Igazgatóság</t>
  </si>
  <si>
    <t>Szolnok Megyei Növény-és Talajvédelmi Igazgatóság</t>
  </si>
  <si>
    <t>Tolna Megyei Növény-és Talajvédelmi Igazgatóság</t>
  </si>
  <si>
    <t>Zala Megyei Növény-és Talajvédelmi Igazgatóság</t>
  </si>
  <si>
    <t>Mindösszesen</t>
  </si>
  <si>
    <t>III/3.</t>
  </si>
  <si>
    <t>Parlagfű kutatási feladat Fejér m.FVM 13617/09</t>
  </si>
  <si>
    <t>Parlagfű VM feladatterv eszk. beszerzés</t>
  </si>
  <si>
    <t>III/4.</t>
  </si>
  <si>
    <t>TIOP 3.3.1/A-09/1 sz. pályázat</t>
  </si>
  <si>
    <t>Akadálymentesítés TIOP pályázat</t>
  </si>
  <si>
    <t>Békés Megyei Növény-és Talajvédelmi Igazgatóság</t>
  </si>
  <si>
    <t>III/5.</t>
  </si>
  <si>
    <t>10T174</t>
  </si>
  <si>
    <t>Baranya Megyei Erdészeti Igazgatóság</t>
  </si>
  <si>
    <t>Arval vonóhorog, felépítmény</t>
  </si>
  <si>
    <t>Baranya Megyei Élelmiszerlánc-biztonsági és Állategészségügyi Igazgatóság</t>
  </si>
  <si>
    <t>Bács Megyei Erdészeti Igazgatóság</t>
  </si>
  <si>
    <t>Bács Megyei Élelmiszerlánc-biztonsági és Állategészségügyi Igazgatóság</t>
  </si>
  <si>
    <t>Speciális gk. visszavásárlás</t>
  </si>
  <si>
    <t>Borsod Megyei Főigazgató</t>
  </si>
  <si>
    <t>Borsod Megyei Élelmiszerlánc-biztonsági és Állategészségügyi Igazgatóság</t>
  </si>
  <si>
    <t>Csongrád Megyei Növény-és Talajvédelmi Igazgatóság</t>
  </si>
  <si>
    <t>Csongrád Megyei Élelmiszerlánc-biztonsági és Állategészségügyi Igazgatóság</t>
  </si>
  <si>
    <t>Fejér Megyei Földművelésügyi Igazgatóság</t>
  </si>
  <si>
    <t>Fejér Megyei Élelmiszerlánc-biztonsági és Állategészségügyi Igazgatóság</t>
  </si>
  <si>
    <t>Győr Megyei Földművelésügyi Igazgatóság</t>
  </si>
  <si>
    <t>Hajdú Megyei Földművelésügyi Igazgatóság</t>
  </si>
  <si>
    <t>Hajdú Megyei Élelmiszerlánc-biztonsági és Állategészségügyi Igazgatóság</t>
  </si>
  <si>
    <t>Heves Megyei Földművelésügyi Igazgatóság</t>
  </si>
  <si>
    <t>Heves Megyei Növény-és Talajvédelmi Igazgatóság</t>
  </si>
  <si>
    <t>Komárom Megyei Földművelésügyi Igazgatóság</t>
  </si>
  <si>
    <t>Nógrád Megyei Élelmiszerlánc-biztonsági és Állategészségügyi Igazgatóság</t>
  </si>
  <si>
    <t>Somogy Megyei Erdészeti Igazgatóság</t>
  </si>
  <si>
    <t>Somogy Megyei Élelmiszerlánc-biztonsági és Állategészségügyi Igazgatóság</t>
  </si>
  <si>
    <t>Szabolcs  Megyei Földművelésügyi Igazgatóság</t>
  </si>
  <si>
    <t>Szabolcs Megyei Élelmiszerlánc-biztonsági és Állategészségügyi Igazgatóság</t>
  </si>
  <si>
    <t>Szolnok  Megyei Földművelésügyi Igazgatóság</t>
  </si>
  <si>
    <t>Szolnok Megyei Élelmiszerlánc-biztonsági és Állategészségügyi Igazgatóság</t>
  </si>
  <si>
    <t>Tolna  Megyei Földművelésügyi Igazgatóság</t>
  </si>
  <si>
    <t>Tolna Megyei Élelmiszerlánc-biztonsági és Állategészségügyi Igazgatóság</t>
  </si>
  <si>
    <t>Vas Megyei Erdészeti Igazgatóság</t>
  </si>
  <si>
    <t>Vas Megyei Növény-és Talajvédelmi Igazgatóság</t>
  </si>
  <si>
    <t>Vas Megyei Élelmiszerlánc-biztonsági és Állategészségügyi Igazgatóság</t>
  </si>
  <si>
    <t>Veszprém  Megyei Földművelésügyi Igazgatóság</t>
  </si>
  <si>
    <t>Veszprém Megyei Növény-és Talajvédelmi Igazgatóság</t>
  </si>
  <si>
    <t>Veszprém Megyei Élelmiszerlánc-biztonsági és Állategészségügyi Igazgatóság</t>
  </si>
  <si>
    <t>Zala Megyei Földművelésügyi Igazgatóság</t>
  </si>
  <si>
    <t>Zala Megyei Erdészeti Igazgatóság</t>
  </si>
  <si>
    <t>Zala Megyei Élelmiszerlánc-biztonsági és Állategészségügyi Igazgatóság</t>
  </si>
  <si>
    <t>III/6.</t>
  </si>
  <si>
    <t>10T033</t>
  </si>
  <si>
    <t>Gázvezeték javítás</t>
  </si>
  <si>
    <t>Tordas szennyvíz, csapadékvíz elvezetés</t>
  </si>
  <si>
    <t>III/7.</t>
  </si>
  <si>
    <t>10T023</t>
  </si>
  <si>
    <t>NTI költözés</t>
  </si>
  <si>
    <t>Kerületi hivatalok kialakítása</t>
  </si>
  <si>
    <t>BERUHÁZÁS MINÖSSZESEN</t>
  </si>
  <si>
    <t>G jelű tábla 2.</t>
  </si>
  <si>
    <t>MEGYÉK</t>
  </si>
  <si>
    <t>KÖZPONT</t>
  </si>
  <si>
    <t>Bruttó (Ft)</t>
  </si>
  <si>
    <t>I.</t>
  </si>
  <si>
    <t>I/1.</t>
  </si>
  <si>
    <t xml:space="preserve"> Erdészeti Igazgatóság</t>
  </si>
  <si>
    <t>Frankel 42-44 irodaépület felújítási munkák</t>
  </si>
  <si>
    <t>EAK0-00314 Gödöllő kapu és kerítés</t>
  </si>
  <si>
    <t>Vagyongazdálkodási és Üzemeltetési Igazgatóság / Ingatlangazdálkodási Osztály</t>
  </si>
  <si>
    <t>Homlokzat felújítás Z.egerszeg Berzsenyi u.</t>
  </si>
  <si>
    <t>I/2.</t>
  </si>
  <si>
    <t xml:space="preserve">Állatgyógyászati Termékek Igazgatósága </t>
  </si>
  <si>
    <t>Szállás u palatető felújítása</t>
  </si>
  <si>
    <t>I/3.</t>
  </si>
  <si>
    <t>Állattenyésztési Igazgatóság / Nagycenk TVA</t>
  </si>
  <si>
    <t>250 fős lelátó és 30nm-es tribün felújítása EAKo-00109</t>
  </si>
  <si>
    <t>I/4.</t>
  </si>
  <si>
    <t>Főelosztó berendezés felújítása</t>
  </si>
  <si>
    <t>Nagyboncoló felújítása Debrecen H1230002</t>
  </si>
  <si>
    <t>Nagyboncoló Debrecen ablakcsere H1230002</t>
  </si>
  <si>
    <t>Baromfiboncoló felújítás Debrecen H1230002</t>
  </si>
  <si>
    <t>I/5.</t>
  </si>
  <si>
    <t>10T164 2009-ről áthúzódó kötelezettségek+maradvány                              Növényi génmegörzés-ABK</t>
  </si>
  <si>
    <t>Agregátorház , növ.védőszer rakt. felújítása</t>
  </si>
  <si>
    <t>3 db Munters száritó ber. feluj.</t>
  </si>
  <si>
    <t>Mindösszesen maradvány</t>
  </si>
  <si>
    <t>FELÚJÍTÁS MINDÖSSZESEN</t>
  </si>
  <si>
    <t>H jelű tábla 1.</t>
  </si>
  <si>
    <t>IV/1.</t>
  </si>
  <si>
    <t>Bács Megyei Növény-és Talajvédelmi Igazgatóság</t>
  </si>
  <si>
    <t>Épületenergetikai korszerűsítés</t>
  </si>
  <si>
    <t>Tetőszerkezet felújítása</t>
  </si>
  <si>
    <t>IV/2.</t>
  </si>
  <si>
    <t>Tetőszigetelés</t>
  </si>
  <si>
    <t>Kémény felújítás</t>
  </si>
  <si>
    <t>IV/3.</t>
  </si>
  <si>
    <t>Laboratórium felújítás</t>
  </si>
  <si>
    <t>IV/4.</t>
  </si>
  <si>
    <t>Herbológiai támogatás VII-474/2010. VM</t>
  </si>
  <si>
    <t>Parlagfű VM feladatterv múzeum kialakítása</t>
  </si>
  <si>
    <t>IV/5.</t>
  </si>
  <si>
    <t>FELÚJÍTÁS MINÖSSZESEN</t>
  </si>
  <si>
    <t>H jelű tábla 2.</t>
  </si>
  <si>
    <t xml:space="preserve">Előirányzat-teljesítés összesen </t>
  </si>
  <si>
    <t xml:space="preserve">EKOP-1.2.5-2008-0001 </t>
  </si>
  <si>
    <t>2008. november 27.</t>
  </si>
  <si>
    <t>Agrártámogatások Kölcsönös Megfeleltetési rendszere</t>
  </si>
  <si>
    <t>2010. december 31.</t>
  </si>
  <si>
    <r>
      <rPr>
        <b/>
        <sz val="10"/>
        <rFont val="Times New Roman CE"/>
        <family val="0"/>
      </rPr>
      <t>ÁROP-2210/2010</t>
    </r>
    <r>
      <rPr>
        <sz val="10"/>
        <rFont val="Times New Roman CE"/>
        <family val="0"/>
      </rPr>
      <t xml:space="preserve"> </t>
    </r>
  </si>
  <si>
    <t>2011. február 1.</t>
  </si>
  <si>
    <t>Jogalkalmazás javítása a mezőgazdasági szakigazgatásban</t>
  </si>
  <si>
    <t>2011. szeptember 30.</t>
  </si>
  <si>
    <r>
      <rPr>
        <b/>
        <sz val="10"/>
        <rFont val="Times New Roman CE"/>
        <family val="0"/>
      </rPr>
      <t>KMOP-3.3.3</t>
    </r>
    <r>
      <rPr>
        <sz val="10"/>
        <rFont val="Times New Roman CE"/>
        <family val="0"/>
      </rPr>
      <t xml:space="preserve"> </t>
    </r>
  </si>
  <si>
    <t>2010. szeptember 16.</t>
  </si>
  <si>
    <t>7192</t>
  </si>
  <si>
    <t>Megújuló energiahordozó-felhasználás növelése a Nemzeti Lovardában</t>
  </si>
  <si>
    <t xml:space="preserve">TIOP-3.3.1/A-10/1-2010 </t>
  </si>
  <si>
    <t>Komplex  akadálymentesítés: a megyék által összesen 29 db pályázat került benyújtásra épületeik akadálymentesítésére</t>
  </si>
  <si>
    <t>2011. augusztus 31.</t>
  </si>
  <si>
    <t>2006/018-176.01.02 Átmenetei Támogatás</t>
  </si>
  <si>
    <t>2008. március</t>
  </si>
  <si>
    <t>FM Hivatalok Projekt;
Teljes körű elektronikus iktató, irat- és munkafolyamat kezelő rendszer fejlesztése.</t>
  </si>
  <si>
    <t>2009. december</t>
  </si>
  <si>
    <t>2006-018-176-01-03 Átmenetei Támogatás</t>
  </si>
  <si>
    <t>BIP projekt; Az állategészségügyi és növény-egészségügyi határállomások szolgáltatási kapacitásának megerősítése és az országos állategészségügyi informatikai rendszer fejlesztése.</t>
  </si>
  <si>
    <t>EKOP-1.2.2-07-2008-0001</t>
  </si>
  <si>
    <t>2008. július</t>
  </si>
  <si>
    <t xml:space="preserve"> Egyablakos vámügyintézés megvalósítása</t>
  </si>
  <si>
    <t>2010. június</t>
  </si>
  <si>
    <t>EURO-NEUT 41 kutatási pályázat</t>
  </si>
  <si>
    <t>2009 -2011</t>
  </si>
  <si>
    <t>Novaduck kutatási pályázat</t>
  </si>
  <si>
    <t>2007-2010</t>
  </si>
  <si>
    <t>Sertéspestis kutatás pályázat</t>
  </si>
  <si>
    <t>AniBioThreat kut.pályázat</t>
  </si>
  <si>
    <t>2010-2011</t>
  </si>
  <si>
    <t>TB Step  kut. pályázat</t>
  </si>
  <si>
    <t>2009-2011</t>
  </si>
  <si>
    <t>Gs Soil kut.pályázat</t>
  </si>
  <si>
    <t>A két Átmeneti Támogatás projekt esetében a hivatalunk végső kedvezményezett volt, a pénzügyi telejsítéseket teljes mértékben az FVM végezte. Az összegek is EUR-ban voltak mindenütt megadva, a táblázatban az adott időpontra általánosan használt 230 Ft-os árfolyammal számoltunk.</t>
  </si>
  <si>
    <t>Levélszám/Bizonylat</t>
  </si>
  <si>
    <t>Levélszám/ 
bizonylatszám</t>
  </si>
  <si>
    <t>Dátum</t>
  </si>
  <si>
    <t>Pénzf.
Kód</t>
  </si>
  <si>
    <t>Hatás-
kör</t>
  </si>
  <si>
    <t>Személyi
kiadások</t>
  </si>
  <si>
    <t>Munkaa.
terh.jár</t>
  </si>
  <si>
    <t>Dologi
kiad.</t>
  </si>
  <si>
    <t>Ellát.
pénzbeli
jutt.</t>
  </si>
  <si>
    <t>Egyéb műk. célú tám-ok, kiadások</t>
  </si>
  <si>
    <t>Előző évi működési célú ei.-maradv.
átadása</t>
  </si>
  <si>
    <t>Tám. 
értékű működési kiadások</t>
  </si>
  <si>
    <t>Felhalm. célú p.eszk.-átadás</t>
  </si>
  <si>
    <t>Tám. értékű felhalm. kiadások</t>
  </si>
  <si>
    <t>Beruházás</t>
  </si>
  <si>
    <t>Egyéb int.
Felh.kiad.</t>
  </si>
  <si>
    <t>Kölcsönök nyújtása és törlesztése</t>
  </si>
  <si>
    <t>Kiadás
összesen</t>
  </si>
  <si>
    <t>Működési
bevétel</t>
  </si>
  <si>
    <t>Műk. célú pénze. átvétel,  bev. 
ÁHT-n kív.</t>
  </si>
  <si>
    <t>Tám. értékű műk. bev.</t>
  </si>
  <si>
    <t>Előző évi műk.célú ei.-mar.átv.</t>
  </si>
  <si>
    <t>Előző évi felhalm.célú ei.-mar.átvét.</t>
  </si>
  <si>
    <t xml:space="preserve">Egyéb felhalm.célú
peszk.átvét.,
bev. </t>
  </si>
  <si>
    <t>Támogatás értékű felhalmo-zási bev.</t>
  </si>
  <si>
    <t>Költségvetési támogatás</t>
  </si>
  <si>
    <t>Előző évi  ei.-mar. Igénybevét.</t>
  </si>
  <si>
    <t>Kölcsö-nök igényb. és vissza-tér.</t>
  </si>
  <si>
    <t>Bevétel Összesen</t>
  </si>
  <si>
    <t>Kontroll:</t>
  </si>
  <si>
    <t>47021/2007. (FVM)</t>
  </si>
  <si>
    <t>FVM XX/17/2010.</t>
  </si>
  <si>
    <t>01.12</t>
  </si>
  <si>
    <t>1</t>
  </si>
  <si>
    <t>Eredeti költségvetés</t>
  </si>
  <si>
    <t>FVM XX/58/2010.</t>
  </si>
  <si>
    <t>01.20</t>
  </si>
  <si>
    <t>4</t>
  </si>
  <si>
    <t>KIR átadás fejezetek közötti átcsoportosítás</t>
  </si>
  <si>
    <t>Január összesen</t>
  </si>
  <si>
    <t>FVM XX/16/5/2010.</t>
  </si>
  <si>
    <t>02.24.</t>
  </si>
  <si>
    <t>2</t>
  </si>
  <si>
    <t>Kereset-kiegészítés 2010.</t>
  </si>
  <si>
    <t>Február összesen</t>
  </si>
  <si>
    <t>EG03I/01</t>
  </si>
  <si>
    <t>03.22.</t>
  </si>
  <si>
    <t>Fejér Parlagfű elleni véd.</t>
  </si>
  <si>
    <t>Tejtermelők elmaradt bevétel 2009.11-12.</t>
  </si>
  <si>
    <t>Tápiószele génbanki tev. (Agrobotanika)</t>
  </si>
  <si>
    <t>Nyerstej min. vizsg. (továbbutalt decemberben)</t>
  </si>
  <si>
    <t>4935</t>
  </si>
  <si>
    <t>Osztatlan közös tulajdon (FM Ig.)</t>
  </si>
  <si>
    <t>Március összesen</t>
  </si>
  <si>
    <t>EG03I/02</t>
  </si>
  <si>
    <t>04.06</t>
  </si>
  <si>
    <t>4007</t>
  </si>
  <si>
    <t>Növényeü. Vizsgálatok 2009.11.-2010.01.</t>
  </si>
  <si>
    <t>4937</t>
  </si>
  <si>
    <t>38/2009. állatbetegs. 2009. IV. né.</t>
  </si>
  <si>
    <t>4932</t>
  </si>
  <si>
    <t>Állt és növ. kártalanítás</t>
  </si>
  <si>
    <t>EG03I/03</t>
  </si>
  <si>
    <t>1900</t>
  </si>
  <si>
    <t>2009. évi maradvány</t>
  </si>
  <si>
    <t>FVM XX/60/6/2010.</t>
  </si>
  <si>
    <t>04.08</t>
  </si>
  <si>
    <t>EU elnökségi pótlék</t>
  </si>
  <si>
    <t>EG03I/04</t>
  </si>
  <si>
    <t>04.12</t>
  </si>
  <si>
    <t>3907</t>
  </si>
  <si>
    <t>148/2007. Vágóáll.-baromfi terméktanács</t>
  </si>
  <si>
    <t>4902</t>
  </si>
  <si>
    <t>DSZ/7/2009</t>
  </si>
  <si>
    <t>4905</t>
  </si>
  <si>
    <t>DSZ/2/2009</t>
  </si>
  <si>
    <t>FVM XX/254/3/2010.</t>
  </si>
  <si>
    <t>04.21</t>
  </si>
  <si>
    <t>Kihelyezett köztisztviselők pótelőirányzat</t>
  </si>
  <si>
    <t>EG03I/05</t>
  </si>
  <si>
    <t>04.28</t>
  </si>
  <si>
    <t>6903</t>
  </si>
  <si>
    <t>MVH EKOP 2009.</t>
  </si>
  <si>
    <t>6904</t>
  </si>
  <si>
    <t>MVH VPOP 2009.</t>
  </si>
  <si>
    <t>3904</t>
  </si>
  <si>
    <t>Borforgalmi járulék</t>
  </si>
  <si>
    <t>4001</t>
  </si>
  <si>
    <t>DSZ/4/2010</t>
  </si>
  <si>
    <t>4009</t>
  </si>
  <si>
    <t>DSZ/5/2010</t>
  </si>
  <si>
    <t>EG03I/06</t>
  </si>
  <si>
    <t>04.29</t>
  </si>
  <si>
    <t>EG03I/07</t>
  </si>
  <si>
    <t>Április összesen</t>
  </si>
  <si>
    <t>FVM XX/383/2010.</t>
  </si>
  <si>
    <t>05.04</t>
  </si>
  <si>
    <t>2022</t>
  </si>
  <si>
    <t>Pannon magbank létrehozása</t>
  </si>
  <si>
    <t>FVM XX/311/1/2010.</t>
  </si>
  <si>
    <t>05.12</t>
  </si>
  <si>
    <t>4031</t>
  </si>
  <si>
    <t>Parlagfű közérdekű feladatok (megtérülő)</t>
  </si>
  <si>
    <t>FVM XX/439/2010.</t>
  </si>
  <si>
    <t>2023</t>
  </si>
  <si>
    <t>Állami génmegőrzési feladatok</t>
  </si>
  <si>
    <t>FVM XX/305/3/2010.</t>
  </si>
  <si>
    <t>05.14</t>
  </si>
  <si>
    <t>3902</t>
  </si>
  <si>
    <t>Ösztöndíjas foglalkoztatás</t>
  </si>
  <si>
    <t>FVM XX/187/5/2010.</t>
  </si>
  <si>
    <t>3901</t>
  </si>
  <si>
    <t>PÉP I.né</t>
  </si>
  <si>
    <t>FVM XX/350/2/2010.</t>
  </si>
  <si>
    <t>05.18</t>
  </si>
  <si>
    <t>4035</t>
  </si>
  <si>
    <t>EG03I/08</t>
  </si>
  <si>
    <t>05.20</t>
  </si>
  <si>
    <t>Növényeü. Vizsgálatok 2010.03 hó</t>
  </si>
  <si>
    <t>2029</t>
  </si>
  <si>
    <t>Twinning (Észt  pályázat</t>
  </si>
  <si>
    <t>38/2009. állatbetegs. 2009. IV. né. Korrekció</t>
  </si>
  <si>
    <t>148/2007. Vágóáll.-baromfi 2010.04 hó</t>
  </si>
  <si>
    <t>148/2007. Vágóáll.-baromfi Győr</t>
  </si>
  <si>
    <t>148/2007. Vágóáll.-baromfi Baranya</t>
  </si>
  <si>
    <t>148/2007. Vágóáll.-baromfi Borsod</t>
  </si>
  <si>
    <t>4010</t>
  </si>
  <si>
    <t>DSZ/6/2010</t>
  </si>
  <si>
    <t>2925</t>
  </si>
  <si>
    <t>Csongrád PEPEIRA pályázat</t>
  </si>
  <si>
    <t>Főváros gk. értékesítés</t>
  </si>
  <si>
    <t>EG03I/09</t>
  </si>
  <si>
    <t>IER műk. XX/142/1/2010.</t>
  </si>
  <si>
    <t>EMRE pótkeret</t>
  </si>
  <si>
    <t>Nyerstej minősítő vizs.dec. továbbutalás</t>
  </si>
  <si>
    <t>EG03I/10 (5)</t>
  </si>
  <si>
    <t>MVH VPOP korrekció</t>
  </si>
  <si>
    <t>EG03I/11</t>
  </si>
  <si>
    <t>EG03I/12</t>
  </si>
  <si>
    <t>05.27</t>
  </si>
  <si>
    <t>Növényeü.vizsg. 2010.04.</t>
  </si>
  <si>
    <t>148/2007. 2010.04.</t>
  </si>
  <si>
    <t>4032</t>
  </si>
  <si>
    <t xml:space="preserve">Állat és növ.kártalanítás </t>
  </si>
  <si>
    <t>DSZ/6 2010.01-04</t>
  </si>
  <si>
    <t>MVH EKOP 3. 2009</t>
  </si>
  <si>
    <t>Agrobotanika 2009</t>
  </si>
  <si>
    <t>Május összesen</t>
  </si>
  <si>
    <t>FVM XX/16/11/2010.</t>
  </si>
  <si>
    <t>05.25</t>
  </si>
  <si>
    <t>Kereset-kiegészítés 2010. elszámolása</t>
  </si>
  <si>
    <t>FVM XX/160/4/2010.</t>
  </si>
  <si>
    <t>06.08</t>
  </si>
  <si>
    <t>Étterem üzemeltetésével  kapcs ei.</t>
  </si>
  <si>
    <t>EG03I/13</t>
  </si>
  <si>
    <t>06.14</t>
  </si>
  <si>
    <t>MÁK visszaküldte</t>
  </si>
  <si>
    <t>EG03I/14</t>
  </si>
  <si>
    <t>06.15</t>
  </si>
  <si>
    <t>TIOP-3.3.1/ 1-2009-0042 Békés</t>
  </si>
  <si>
    <t>4906</t>
  </si>
  <si>
    <t>Terület alapú támogatás 2009</t>
  </si>
  <si>
    <t>Terület alapú támogatás 2010</t>
  </si>
  <si>
    <t>3015</t>
  </si>
  <si>
    <t>EMVA erdészeti potenciál (10220)</t>
  </si>
  <si>
    <t>DSZ/6 2010.04</t>
  </si>
  <si>
    <t>DSZ/5 2009.12.-2010.05</t>
  </si>
  <si>
    <t>EG03I/15</t>
  </si>
  <si>
    <t>06.21</t>
  </si>
  <si>
    <t>2031</t>
  </si>
  <si>
    <t>TIOP-3.3.1/A-09/1-2009-004 Fejér</t>
  </si>
  <si>
    <t>148/2007. 2010.05 megyék</t>
  </si>
  <si>
    <t>38/2009. állatbetegs. 2009. IV. né. Megyék</t>
  </si>
  <si>
    <t>DSZ/6 2010.05</t>
  </si>
  <si>
    <t>Gk. flotta értékesítési bevétel</t>
  </si>
  <si>
    <t>2028</t>
  </si>
  <si>
    <t>Eco/08/238984/ SI2.532247 pályázat Fejér</t>
  </si>
  <si>
    <t>2026</t>
  </si>
  <si>
    <t>KTIA SI-12/2009 Fejér</t>
  </si>
  <si>
    <t>EG03I/16</t>
  </si>
  <si>
    <t>3013</t>
  </si>
  <si>
    <t>Fejér parlagfű ell.véd</t>
  </si>
  <si>
    <t>EG03I/17</t>
  </si>
  <si>
    <t>FVM Osztatlan földtulajdon</t>
  </si>
  <si>
    <t>Korengedményes nyugdíj</t>
  </si>
  <si>
    <t>EG03I/18</t>
  </si>
  <si>
    <t>06.24</t>
  </si>
  <si>
    <t>4002</t>
  </si>
  <si>
    <t>DSZ/7 2010.01-04</t>
  </si>
  <si>
    <t>VM XX/386/1/2010</t>
  </si>
  <si>
    <t>3011</t>
  </si>
  <si>
    <t>Parlagfű közérdekű védekezés megyék</t>
  </si>
  <si>
    <t>VM XX/490/3/2010</t>
  </si>
  <si>
    <t>1132/2010 Korm.hat. Végrehajtása zárolás</t>
  </si>
  <si>
    <t>Június összesen</t>
  </si>
  <si>
    <t>EG03I/19</t>
  </si>
  <si>
    <t>07.28</t>
  </si>
  <si>
    <t>5</t>
  </si>
  <si>
    <t>DSZ/4/2010 05-06</t>
  </si>
  <si>
    <t>DSZ/5/2010 05-06</t>
  </si>
  <si>
    <t>DSZ/6 2010.06</t>
  </si>
  <si>
    <t>DSZ/07/2010 06.</t>
  </si>
  <si>
    <t>4037</t>
  </si>
  <si>
    <t>45/2010. állatbetegs. TSE 2010.I.né</t>
  </si>
  <si>
    <t>45/2010. állatbetegs.  2010.I.né</t>
  </si>
  <si>
    <t>4006</t>
  </si>
  <si>
    <t>Területalapú támogatás Bács</t>
  </si>
  <si>
    <t>Erdész FÖMI ortofotó (10550)</t>
  </si>
  <si>
    <t>Főváros falus Petra kártérítés</t>
  </si>
  <si>
    <t>Jakab Lászlóné koreng.nyugdíj</t>
  </si>
  <si>
    <t>EG03I/20</t>
  </si>
  <si>
    <t>07.30</t>
  </si>
  <si>
    <t>5901</t>
  </si>
  <si>
    <t>2006. évi EU póttám. Madárinfluenza</t>
  </si>
  <si>
    <t>148/2007. 2010.06-07 megyék</t>
  </si>
  <si>
    <t xml:space="preserve">148/2007. 2010.06-07 </t>
  </si>
  <si>
    <t>VM XX/621/2/2010</t>
  </si>
  <si>
    <t>4040</t>
  </si>
  <si>
    <t>1153/2010.Korm.hat áll.tul.-ban kelettk. árvízi károk</t>
  </si>
  <si>
    <t>Július összesen</t>
  </si>
  <si>
    <t>EG03I/21</t>
  </si>
  <si>
    <t>MVH EKOP I. 2009</t>
  </si>
  <si>
    <t>DSZ/5/2010 szárított takarmány</t>
  </si>
  <si>
    <t>Visszautalt osztatlan (Veszprém megyi Földhiv.)</t>
  </si>
  <si>
    <t>Növényeü.vizsg. 2009.12</t>
  </si>
  <si>
    <t>DSZ/07 TS Vidékfejl.támogatás</t>
  </si>
  <si>
    <t>DSZ/5/2010 07</t>
  </si>
  <si>
    <t>DSZ/4/2010 07</t>
  </si>
  <si>
    <t>EG03I/22</t>
  </si>
  <si>
    <t>3017</t>
  </si>
  <si>
    <t>Parlagfű elleni közérdekű véd.  megye</t>
  </si>
  <si>
    <t>VM XX/648/1/2010</t>
  </si>
  <si>
    <t>EMRE 2010. támogatás</t>
  </si>
  <si>
    <t>VM XX/636/3/2010</t>
  </si>
  <si>
    <t>08.19</t>
  </si>
  <si>
    <t>PÉP II.né</t>
  </si>
  <si>
    <t>Augusztus összesen</t>
  </si>
  <si>
    <t>VM XX/582/3/2010</t>
  </si>
  <si>
    <t>08.29</t>
  </si>
  <si>
    <t>Ösztöndíjas foglalkoztatás II. né</t>
  </si>
  <si>
    <t>VM XX/577/3/2011</t>
  </si>
  <si>
    <t>08.31</t>
  </si>
  <si>
    <t>Nemzeti szakértők fogl. Baranya</t>
  </si>
  <si>
    <t>EG03I/25</t>
  </si>
  <si>
    <t>09.10</t>
  </si>
  <si>
    <t>DSZ/6 2010.07</t>
  </si>
  <si>
    <t>Növényeü.vizsg. 2010.05</t>
  </si>
  <si>
    <t>Növényeü.vizsg. 2010.07</t>
  </si>
  <si>
    <t>148/2007. 2010.07-08 megyék</t>
  </si>
  <si>
    <t>148/2007. 2010.07</t>
  </si>
  <si>
    <t>45/2010. állatbetegs. TSE 2010.II.né</t>
  </si>
  <si>
    <t>45/2010. állatbetegs. 2010.II.né</t>
  </si>
  <si>
    <t>95/2008 bevétel rendezés</t>
  </si>
  <si>
    <t>VM XX/608/2/2010</t>
  </si>
  <si>
    <t>09.24</t>
  </si>
  <si>
    <t>3903</t>
  </si>
  <si>
    <t>Határon túli gazdák támogatása</t>
  </si>
  <si>
    <t>EG03I/28</t>
  </si>
  <si>
    <t>09.30</t>
  </si>
  <si>
    <t>DSZ/07  2010.07</t>
  </si>
  <si>
    <t>4931</t>
  </si>
  <si>
    <t>2009. évi parlagfű igénybevétel</t>
  </si>
  <si>
    <t>LAB-ON-Site 2009. évi kiadás megtérítés</t>
  </si>
  <si>
    <t>2013</t>
  </si>
  <si>
    <t>Sertés pestis kutatás pályázat</t>
  </si>
  <si>
    <t>2014</t>
  </si>
  <si>
    <t>EuroNeut-41 pályázat</t>
  </si>
  <si>
    <t>148/2007. 2010. megyék</t>
  </si>
  <si>
    <t>2040</t>
  </si>
  <si>
    <t>EMEA</t>
  </si>
  <si>
    <t>Atkár szakmai feladatok ellátása</t>
  </si>
  <si>
    <t>Foodlawment "kritikus infrastruktúrák"</t>
  </si>
  <si>
    <t>Parlagfű 2010.</t>
  </si>
  <si>
    <t>Szeptember összesen</t>
  </si>
  <si>
    <t>EG03I/29</t>
  </si>
  <si>
    <t>10.18</t>
  </si>
  <si>
    <t>4008</t>
  </si>
  <si>
    <t>DSZ/3 Bor.min.</t>
  </si>
  <si>
    <t>DSZ/5/2010 09</t>
  </si>
  <si>
    <t>DSZ/6 2010.09</t>
  </si>
  <si>
    <t>DSZ/4/2010 09</t>
  </si>
  <si>
    <t>148/2007.  megyék</t>
  </si>
  <si>
    <t>4041</t>
  </si>
  <si>
    <t>Mezőőri szolgálat felállítása</t>
  </si>
  <si>
    <t>45/2010. állatbetegs. 2010.I-II.né megye</t>
  </si>
  <si>
    <t>2041</t>
  </si>
  <si>
    <t>CAP2010/12 PH-099-2010 pályázat</t>
  </si>
  <si>
    <t>4042</t>
  </si>
  <si>
    <t>Üvegház hatású gázok…</t>
  </si>
  <si>
    <t>Zala átcsoportosítás</t>
  </si>
  <si>
    <t>Fodor zoltánné baleseti járadék</t>
  </si>
  <si>
    <t>EG03I/30</t>
  </si>
  <si>
    <t>10.28</t>
  </si>
  <si>
    <t xml:space="preserve">5 </t>
  </si>
  <si>
    <t>TB átcsoportosítás</t>
  </si>
  <si>
    <t>EG03I/31</t>
  </si>
  <si>
    <t>MVH DSZ szerződések</t>
  </si>
  <si>
    <t>Növényeü.vizsg. 2010.08</t>
  </si>
  <si>
    <t>Október összesen</t>
  </si>
  <si>
    <t>VM XX/1216/2/2010</t>
  </si>
  <si>
    <t>11.08</t>
  </si>
  <si>
    <t>Agrobotanika kiválás (NÖDIK létrehozása)</t>
  </si>
  <si>
    <t>EG03I/32</t>
  </si>
  <si>
    <t>11.16</t>
  </si>
  <si>
    <t>3004</t>
  </si>
  <si>
    <t>Területalpú támogatás</t>
  </si>
  <si>
    <t>Területalpú támogatás Szolnok</t>
  </si>
  <si>
    <t>6005</t>
  </si>
  <si>
    <t>Nemzeti Lovarda fűtés korszerűsítés</t>
  </si>
  <si>
    <t>Parlagfű 2010. kiadás átcsop</t>
  </si>
  <si>
    <t>MVH EKOP I. 2010</t>
  </si>
  <si>
    <t>11.22</t>
  </si>
  <si>
    <t>1132/2010 Korm.hat.  Zárolás feloldása</t>
  </si>
  <si>
    <t>EG03I/34</t>
  </si>
  <si>
    <t>11.26</t>
  </si>
  <si>
    <t xml:space="preserve">45/2010. állatbetegs. </t>
  </si>
  <si>
    <t>45/2010. állatbetegs. TSE</t>
  </si>
  <si>
    <t>Kistérségi társulás Szabolcs</t>
  </si>
  <si>
    <t>Területalpú támogatás Bács</t>
  </si>
  <si>
    <t>Területalpú támogatás Fejér</t>
  </si>
  <si>
    <t>45/2010. állatbetegs.  Főváros bev. Átcsop.</t>
  </si>
  <si>
    <t>2042</t>
  </si>
  <si>
    <t>GCDT Agrobotanika pályázat</t>
  </si>
  <si>
    <t>MVH VPOP bev. Átcsop.</t>
  </si>
  <si>
    <t>38/2009. állatbetegs. Zala kiad.átcsop.</t>
  </si>
  <si>
    <t>EG03I/37</t>
  </si>
  <si>
    <t>11.30</t>
  </si>
  <si>
    <t>EG03I/38</t>
  </si>
  <si>
    <t>VM XX/621/3/2010</t>
  </si>
  <si>
    <t>VM XX/582/4/2010</t>
  </si>
  <si>
    <t>Ösztöndíjas foglalkoztatás III. né</t>
  </si>
  <si>
    <t>November összesen</t>
  </si>
  <si>
    <t>VM XX/1192/2/2010</t>
  </si>
  <si>
    <t>Póttámogatás</t>
  </si>
  <si>
    <t>VM XX/636/7/2010</t>
  </si>
  <si>
    <t>PÉP III.né</t>
  </si>
  <si>
    <t>VM XX/1374/1/2011</t>
  </si>
  <si>
    <t>11.24</t>
  </si>
  <si>
    <t>Többlet bevétel VM hatáskör</t>
  </si>
  <si>
    <t>EG03I/39</t>
  </si>
  <si>
    <t>12.06</t>
  </si>
  <si>
    <t xml:space="preserve">148/2007.  </t>
  </si>
  <si>
    <t>45/2010. állatbetegs.  megye III.né</t>
  </si>
  <si>
    <t>2011</t>
  </si>
  <si>
    <t>TB Step pályázat</t>
  </si>
  <si>
    <t>VM XX/1374/3/2011</t>
  </si>
  <si>
    <t>12.11</t>
  </si>
  <si>
    <t>12.14</t>
  </si>
  <si>
    <t>Parlagfű közérdekű védekezés</t>
  </si>
  <si>
    <t>VM XX/791/41/2012</t>
  </si>
  <si>
    <t>12.15</t>
  </si>
  <si>
    <t>3018</t>
  </si>
  <si>
    <t>Részarány-tul.  pénzbeli kártalanítás</t>
  </si>
  <si>
    <t>EG03I/40</t>
  </si>
  <si>
    <t>EG03I/42</t>
  </si>
  <si>
    <t>12.19</t>
  </si>
  <si>
    <t>45/2010. állatbetegs. Korrekció</t>
  </si>
  <si>
    <t>Daróczi Éva kártérítés</t>
  </si>
  <si>
    <t>EG03I/43</t>
  </si>
  <si>
    <t>45/2010. állatbetegs. Kiegészítés</t>
  </si>
  <si>
    <t>Agrobotanika</t>
  </si>
  <si>
    <t>EG03I/44</t>
  </si>
  <si>
    <t>2032</t>
  </si>
  <si>
    <t>Tápiószele génbanki tev. Maradvány</t>
  </si>
  <si>
    <t>EG03I/45</t>
  </si>
  <si>
    <t>EG03I/46</t>
  </si>
  <si>
    <t>12.22</t>
  </si>
  <si>
    <t>Lakás kölcsön</t>
  </si>
  <si>
    <t>EG03I/47</t>
  </si>
  <si>
    <t>2055</t>
  </si>
  <si>
    <t>EMRE 2010</t>
  </si>
  <si>
    <t>EG03I/50</t>
  </si>
  <si>
    <t>12.23</t>
  </si>
  <si>
    <t>TÉT Magyar-Szlovén</t>
  </si>
  <si>
    <t>2044</t>
  </si>
  <si>
    <t>AniBio</t>
  </si>
  <si>
    <t>2019</t>
  </si>
  <si>
    <t>TÉT Magyar-Cseh</t>
  </si>
  <si>
    <t>2015</t>
  </si>
  <si>
    <t>GS Soil</t>
  </si>
  <si>
    <t>Felújítás rendezés</t>
  </si>
  <si>
    <t>KM EKOP</t>
  </si>
  <si>
    <t>EG03I/51</t>
  </si>
  <si>
    <t>12.28</t>
  </si>
  <si>
    <t>Állat kártalanítás</t>
  </si>
  <si>
    <t>EG03I/52</t>
  </si>
  <si>
    <t>Aranykorona Önkéntes Nyudíjpénztár</t>
  </si>
  <si>
    <t>Személyi és TB rendezés</t>
  </si>
  <si>
    <t>EG03I/53</t>
  </si>
  <si>
    <t>Főváros bevétel rendezés</t>
  </si>
  <si>
    <t>VM XX/582/7/2010.</t>
  </si>
  <si>
    <t>3005</t>
  </si>
  <si>
    <t>Nemzeti Szakértők</t>
  </si>
  <si>
    <t>VM XX/577/11/2010</t>
  </si>
  <si>
    <t>Ösztöndíjasok IV.né</t>
  </si>
  <si>
    <t>VM XX/386/2/2010.</t>
  </si>
  <si>
    <t>3020</t>
  </si>
  <si>
    <t>VM XX/636/13/2010.</t>
  </si>
  <si>
    <t>3091</t>
  </si>
  <si>
    <t>PÉP IV.né</t>
  </si>
  <si>
    <t>3019</t>
  </si>
  <si>
    <t>Magyar Élelmiszerkönyv</t>
  </si>
  <si>
    <t>EG03I/54</t>
  </si>
  <si>
    <t>12.29</t>
  </si>
  <si>
    <t>Bevétel rendezés (DSZ/7)</t>
  </si>
  <si>
    <t>Ter.a.tám. Közp,Bács,Fejér,Szolnok</t>
  </si>
  <si>
    <t>148/2007.  Fejér</t>
  </si>
  <si>
    <t>Banszámla felutaláshoz ei.módosítás</t>
  </si>
  <si>
    <t>December összesen</t>
  </si>
  <si>
    <t xml:space="preserve">Előirányzat  összesen: </t>
  </si>
  <si>
    <t>MŰKÖDÉSI KÖLTSÉGVETÉS</t>
  </si>
  <si>
    <t>Programfinanszírozás</t>
  </si>
  <si>
    <t>PJ 12. hó</t>
  </si>
  <si>
    <t>Különbözet:</t>
  </si>
  <si>
    <t>(e Ft)</t>
  </si>
  <si>
    <t>Egyéb működési célú kiadások</t>
  </si>
  <si>
    <t>Egyéb felhalmozási célú kiadások</t>
  </si>
  <si>
    <t>Előző évi előirányzat-maradvány, pénzmaradvány átadása</t>
  </si>
  <si>
    <t>Kölcsön nyújtása, törlesztése</t>
  </si>
  <si>
    <t>Eredeti előirányzat</t>
  </si>
  <si>
    <t>Különbözet (2010/2007)</t>
  </si>
  <si>
    <t>Különbözet (2010/2009)</t>
  </si>
  <si>
    <t>Működési bevételek</t>
  </si>
  <si>
    <t>Egyéb működési célú bevételek</t>
  </si>
  <si>
    <t>Felhalmozási és tőke jellegű bevételek</t>
  </si>
  <si>
    <t>Egyéb felhalmozási célú bevételek</t>
  </si>
  <si>
    <t>Előző évi előirányzat-maradvány, pénzmaradvány átvétele</t>
  </si>
  <si>
    <t>Támogatási kölcsönök igénybevétele, visszatérülése</t>
  </si>
  <si>
    <t>Pénzforgalom nélküli bevételek</t>
  </si>
  <si>
    <t>Egyéb műk. célú támogatások</t>
  </si>
  <si>
    <t>Egyéb intézményi felhalm.kiadások</t>
  </si>
  <si>
    <t>Indoklás a pótelőirányzatok felhasználásáról</t>
  </si>
  <si>
    <t>XX/58/2010. FVM</t>
  </si>
  <si>
    <t>KIR átadás miatt fejezetek közötti átcsoportosítás</t>
  </si>
  <si>
    <t>Előirányzat</t>
  </si>
  <si>
    <t>172/2000.(X.18.) Korm.r. alapján, 37/2001.(X.25.) PM r-nek megfelelően a KIR illetmény-számfejtési feladatok MÁK-nak történő átadásával előirányzat átadás-átvételi megállapodásban rögzített összeg nem került lenyitásra.</t>
  </si>
  <si>
    <t>Felhasználás</t>
  </si>
  <si>
    <t>Fel nem használt előirányzat</t>
  </si>
  <si>
    <t>XX/16/5/2010. FVM</t>
  </si>
  <si>
    <t>02.24</t>
  </si>
  <si>
    <t>2010. évi kereset-kiegészítés</t>
  </si>
  <si>
    <t xml:space="preserve">A 316/2009.(XII.28.) K.r., 1035/2010.(II.12.) K.r., 1041/2010.(II.23.) K.r., 6/2009.(I.20.) K.r. alapján kapott eseti kereset kiegészítés kifizetéséhez biztosított támogatás, a fel nem használt 14.502 eFt előirányzat az XX/16/11/2010. levélben elvonásra, az összeg FVM Fejezeti Elosztási számlára visszafizetésre került. </t>
  </si>
  <si>
    <t>XX/60/6/2010. FVM</t>
  </si>
  <si>
    <t>KüM-FVM közötti megállapodás alapján az EU elnökségi pótlékkal, az elnökségi stábtagok, dossziéfelelősök és ügykezelők többletmunkájának, képzési többletterhének anyagi elismerésével kapcsolatban biztosított pótelőirányzat, mely teljes mértékben felhasználásra, kifizetésre került.</t>
  </si>
  <si>
    <t>XX/254/3/2010. FVM</t>
  </si>
  <si>
    <t>Kihelyezett köztisztviselők</t>
  </si>
  <si>
    <t>Megállapodás alapján a Belvízvédelmi Törzs és Központi Ügyelet feladatainak ellátására FVM állományába 2010.01.08-01.21. között kirendelésre került két köztisztviselőnek kifizetett juttatások megtérítésére kapott támogatás</t>
  </si>
  <si>
    <t>XX/383/2010. FVM</t>
  </si>
  <si>
    <t>KVM-FVM megállapodás alapján a hazai szántóföldi és zöldségnövény génbankhoz kapcsolódóan a "Pannon Magbank létrehozása a magyar vadon élő edényes növények hosszú távú ex situ megőrzése" elnevezésű LIFE+ projekt megvalósítása érdekében biztosított támogatás. A forrás részbeni felhasználását az Agrobotanikai Osztály jogutódjának (NÖDIK) történő átutalás jelentette. A fennmaradó összeg 2011. januárjában került átutalásra, és a maradvány részét képezte.</t>
  </si>
  <si>
    <t>XX/311/1/2010. FVM</t>
  </si>
  <si>
    <t>Parlagfű közérdekű feladatok</t>
  </si>
  <si>
    <t>A pótelőirányzat szolgált a 221/2008. (VIII. 30.) Korm.rendelet szerint az önkormányzatok által a belterületi közérdekű védekezések kapcsán felmerült vállalkozói díjak kifizetéséhez igényelt előlegek kiutalására, a m-i MgSzH-k által lefolytatott külterületi közérdekű védekezések kapcsán felmerült vállalkozói díjak, a földhivatal által végzett helyszíni ellenőrzések költségei, eljáró hatóság saját költségei fedezetére. A fennmaradó összeg 2010. decemberében elvonásra illetve visszautalásra került.</t>
  </si>
  <si>
    <t>XX/417/1/2010. FVM</t>
  </si>
  <si>
    <t>FVM megállapodás alapján állami génmegőrzési feladatok támogatása jogcímen nemzetközi kötelezettségekből adódó génbanki tevékenység, növényi génmegőrzési feladatok ellátására biztosított pótelőirányzat felhasználásra került.</t>
  </si>
  <si>
    <t>XX/305/3/2010. FVM</t>
  </si>
  <si>
    <t>Ösztöndíjas foglalkoztatás támogatása I. negyedév</t>
  </si>
  <si>
    <t>Pályakezdő ösztöndíjasok foglalkoztatásával kapcsolatos, 2004. évi CXXIII. törvényben meghatározott kiadások fedezetére I. negyedévi tényleges teljesítés alapján kapott előirányzat</t>
  </si>
  <si>
    <t>XX/350/2/2010. FVM</t>
  </si>
  <si>
    <t>PÉP foglalkoztatás támogatása I. negyedév</t>
  </si>
  <si>
    <t>Prémiumévek programban résztvevők foglalkoztatásával kapcsolatos, 2004. évi CXXII. törvényben meghatározott kiadások fedezetére I. negyedévi tényleges teljesítés alapján kapott előirányzat</t>
  </si>
  <si>
    <t>XX/187/5/2010. FVM</t>
  </si>
  <si>
    <t>FVM megállapodás alapján a kérelmezők által 2009-ben megelőlegezett osztatlan földtulajdon kimérések utólagos visszatérítésére az "Osztatlan földtulajdon kimérésének költségei" előirányzatból biztosított pótelőirányzat. A fennmaradó összeg a maradvány részét képezi.</t>
  </si>
  <si>
    <t>XX/16/11/2010. FVM</t>
  </si>
  <si>
    <t xml:space="preserve">A 316/2009.(XII.28.) K.r., 1035/2010.(II.12.) K.r., 1041/2010.(II.23.) K.r., 6/2009.(I.20.) K.r. alapján kapott eseti kereset kiegészítés kifizetéséhez biztosított támogatás fel nem használt előirányzatának elvonása, az összeg FVM Fejezeti elosztási számlára visszafizetésre került. </t>
  </si>
  <si>
    <t>XX/160/4/2010. FVM</t>
  </si>
  <si>
    <t>Étterem, büfé üzemeltetés</t>
  </si>
  <si>
    <t>FVM étterem-konyha és büfé üzemeltetésére szerződés alapján kapott hozzájárulást az intézmény teljes egészében felhasználta.</t>
  </si>
  <si>
    <t>XX/386/1/2010. VM</t>
  </si>
  <si>
    <t>Feladatterv alapján a megyei MgSzH-k részére a parlagfű elleni közérdekű védekezéssel, a parlagfű mentesítés országos programjának végrehajtásával kapcsolatos feldatok végrehajtása érdekében kapott támogatás. A 1132/2010.(VI.18.) K.hat-ban elrendelt informatikai eszk.beszerzés tilalma miatt a beruházási előirányzat átcsoportosítását kértük. Az előirányzatból 23 eFt nem került felhasználásra, Baranya megye intézkedik a visszafizetésről.</t>
  </si>
  <si>
    <t>XX/621/2/2010. VM</t>
  </si>
  <si>
    <t>08.09</t>
  </si>
  <si>
    <t>Árvízi védekezés költségei megtérítése</t>
  </si>
  <si>
    <t>Az ár- és belvízvédekezés költségei és az elszenvedett árvízkárok 1153/2010. (VII.16.) K.hat.alapján történt részbeni megtérítésére kapott támogatásból fel nem használt összeg visszafizetéséről a B-A-Z m-i Kormányhivatal intézkedik.</t>
  </si>
  <si>
    <t>XX/648/1/2010. VM</t>
  </si>
  <si>
    <t>Erdészeti Mérő és Megfigyelő Rendszer üzemeltetése</t>
  </si>
  <si>
    <t xml:space="preserve">Az erdészeti szakterület által az Erdővédelmi Mérő és Megfigyelő Rendszer működtetésén belül nagyterületű egészségi állapotfelmérés, faállományok növekedésének mérése, kapcsolódó feladatok hazai és nemzetközi koordinációs tevékenységének ellátására irányuló megbízások és egyéb költségek finanszírozására biztosított fedezetet </t>
  </si>
  <si>
    <t>XX/636/3/2010. VM</t>
  </si>
  <si>
    <t>PÉP foglalkoztatás támogatása II. negyedév</t>
  </si>
  <si>
    <t>Prémiumévek programban résztvevők foglalkoztatásával kapcsolatos, 2004. évi CXXII. törvényben meghatározott kiadások fedezetére II. negyedévi tényleges teljesítés alapján kapott előirányzat</t>
  </si>
  <si>
    <t>XX/582/3/2010. VM</t>
  </si>
  <si>
    <t>08.27</t>
  </si>
  <si>
    <t>Ösztöndíjas foglalkoztatás támogatása II. negyedév</t>
  </si>
  <si>
    <t>Pályakezdő ösztöndíjasok foglalkoztatásával kapcsolatos, 2004. évi CXXIII. törvényben meghatározott kiadások fedezetére II. negyedévi tényleges teljesítés alapján kapott előirányzat</t>
  </si>
  <si>
    <t>XX/577/3/2010. VM</t>
  </si>
  <si>
    <t>Nemzeti szakértővel kapcsolatos kiadások támogatása I. félév</t>
  </si>
  <si>
    <t>EU intézményében foglalkoztatott nemzeti szakértővel kapcsolatos, 209/2004. (VII.9.) Korm.rendeletben meghatározott kiadások fedezetére I. félévi tényleges teljesítés alapján kapott előirányzat (Baranya megyei MgSzH)</t>
  </si>
  <si>
    <t>XX/608/2/2010. VM</t>
  </si>
  <si>
    <t>Három megyei hivatalon keresztül pénzügyi segítségnyújtás történt határon túli magyar ágazati szakmai szervezetek programjának elősegítésére (Romániai Magyar Gazdák Egyesülete, Kárpátaljai Magyar Agrárvállalkozók Szövetsége, Vajdasági Magyar Nemzeti Tanács). A fel nem használ összeg Sz-Sz-B m-i Kormányhivatal maradványának részét képezi.</t>
  </si>
  <si>
    <t>XX/1216/2/2010. VM1</t>
  </si>
  <si>
    <t>Agrobotanika kiválása (NÖDIK létrehozása)</t>
  </si>
  <si>
    <t>MgSzH-ból kiválással létrehozott Növényi Diverzitás Központ szakmai feladatinak ellátására átcsoportosított előirányzat összege nem került lenyitásra.</t>
  </si>
  <si>
    <t>XX/1192/2/2010. VM</t>
  </si>
  <si>
    <t>VM megállapodás alapján a fennálló működési kiadások rendezésére és az intézmény vagyonkezelésében lévő Oktatási és Apartman-ház üzemeltetési költségeinek időarányos finanszírozására biztosított pótelőirányzat felhasználásra került.</t>
  </si>
  <si>
    <t>XX/577/72010. VM</t>
  </si>
  <si>
    <t>11.29</t>
  </si>
  <si>
    <t>Ösztöndíjas foglalkoztatás támogatása III. negyedév</t>
  </si>
  <si>
    <t>Pályakezdő ösztöndíjasok foglalkoztatásával kapcsolatos, 2004. évi CXXIII. törvényben meghatározott kiadások fedezetére III. negyedévi tényleges teljesítés alapján kapott előirányzat</t>
  </si>
  <si>
    <t>XX/636/7/2010. VM</t>
  </si>
  <si>
    <t>PÉP foglalkoztatás támogatása III. negyedév</t>
  </si>
  <si>
    <t>Prémiumévek programban résztvevők foglalkoztatásával kapcsolatos, 2004. évi CXXII. törvényben meghatározott kiadások fedezetére III. negyedévi tényleges teljesítés alapján kapott előirányzat</t>
  </si>
  <si>
    <t>XX/621/3/2010. VM</t>
  </si>
  <si>
    <t>12.02</t>
  </si>
  <si>
    <t>Az ár- és belvízvédekezés költségei és az elszenvedett árvízkárok 1153/2010. (VII.16.) K.hat.alapján történt részbeni megtérítésére kapott támogatásból fel nem használt összeg visszafizetéséről a Borsod megyei MgSzH intézkedik.</t>
  </si>
  <si>
    <t>A XX/311/1/2010. VM levélben biztosított előirányzat fel nem használt összege elvonásra és visszafizetésre kerül.</t>
  </si>
  <si>
    <t>XX/791/41/2010. VM</t>
  </si>
  <si>
    <t>Részarány tulajdon pénzbeli kártalanítás</t>
  </si>
  <si>
    <t>A földrendező és földkiadó bizottságokról szóló 1993. évi II.tv.alapján a részarány-tulajdonosok részére járó pénzbeli kártalanítás kifizetéséhez szükséges fedezetet biztosította a pótelőirányzat. Az összeg a maradvány részét képezi, a kifizetések 2011-ben kezdődtek meg.</t>
  </si>
  <si>
    <t>XX/582/7/2010. VM</t>
  </si>
  <si>
    <t>Nemzeti szakértővel kapcsolatos kiadások támogatása II. félév</t>
  </si>
  <si>
    <t>EU intézményében foglalkoztatott nemzeti szakértővel kapcsolatos, 209/2004. (VII.9.) Korm.rendeletben meghatározott kiadások fedezetére II. félévi tényleges teljesítés alapján kapott előirányzat (Baranya megyei MgSzH)</t>
  </si>
  <si>
    <t xml:space="preserve">XX/577/11/2010. </t>
  </si>
  <si>
    <t>Ösztöndíjas foglalkoztatás támogatása IV. negyedév</t>
  </si>
  <si>
    <t>Pályakezdő ösztöndíjasok foglalkoztatásával kapcsolatos, 2004. évi CXXIII. törvényben meghatározott kiadások fedezetére IV. negyedévi tényleges teljesítés alapján kapott előirányzat</t>
  </si>
  <si>
    <t>XX/386/2/2010. VM</t>
  </si>
  <si>
    <t>Az MgSzH Kp.részére a parlagfű elleni hatósági munkához szükséges gk.használat kiadásaira 17.000 eFt, Békés m-i légifelvételezési programra 7.000 eFt került felhasználásra. A fennmaradó maradó összeg Békés m-i MgSzH maradványának részét képezi.</t>
  </si>
  <si>
    <t>XX/636/13/2010. VM</t>
  </si>
  <si>
    <t>12.30</t>
  </si>
  <si>
    <t>PÉP foglalkoztatás támogatása IV. negyedév</t>
  </si>
  <si>
    <t>Prémiumévek programban résztvevők foglalkoztatásával kapcsolatos, 2004. évi CXXII. törvényben meghatározott kiadások fedezetére IV. negyedévi tényleges teljesítés alapján kapott előirányzat</t>
  </si>
  <si>
    <t>XX/1585/3/2010.</t>
  </si>
  <si>
    <t>A Magyar Élelmiszerkönyvhöz, a Magyar Agárágazdasági Minőség Díjhoz kapcsolódó feladatok ellátása érdekében a költségek rendezésére biztosított támogatás felhasználásra 2011. évben kerül sor, az összeg a maradvány részét képezi.</t>
  </si>
  <si>
    <t>Bevétel</t>
  </si>
  <si>
    <t>Indoklás a saját hatáskörű előirányzat-módosítás felhasználásáról</t>
  </si>
  <si>
    <t>Maradv.
átvétel</t>
  </si>
  <si>
    <t>Támog.
értékű
bevétel</t>
  </si>
  <si>
    <t>03.22</t>
  </si>
  <si>
    <t>A VM parlagfű kutatási feladatra biztosított a 2009. évi fejezeti kezelésű maradványából pénzeszközt, melyet a megye teljes egészében felhasznált.</t>
  </si>
  <si>
    <t>A tejpiaci intézkedésekhez kapcsolódóan a 2009. november-decemberi időszaki elszámolást követően 2010. I. negyedévben megérkezett, utólag megtérített pénzeszközzel a Hivatal felhalmozási kiadások részbeni előirányzatát biztosította.</t>
  </si>
  <si>
    <t>EG03I/01, 44, 45</t>
  </si>
  <si>
    <t>03.22
12.19
12.19</t>
  </si>
  <si>
    <t>A pénzeszközt az MgSzH Központ Földművelésügyi Igazgatóság Agrobotanikai Osztálya a tápiószeleti génbanki, génmegőrzési tevékenységhez kapcsolódóan teljes egészében felhasználta.</t>
  </si>
  <si>
    <t>Nyerstej minősítő vizsgálatok</t>
  </si>
  <si>
    <t>Az átadott pénzeszköz a 2009. évi tejpiaci intézkedésekhez kapcsolódóan a nyerstej minősítő vizsgálatokat elvégző intézet részére kifizetett összeg utólagos megtérítését szolgálta.</t>
  </si>
  <si>
    <t>A 2009-ben fel nem használt és decemberben visszautalt összeget a VM 2010-ben újból átadta az MgSzH-nak a további igények kifizetése céljából. A forrás 2010. december 31-ig sem került teljesen felhasználásra, a felhasználatlan összeg az MgSzH 2010. évi kötelezettség-vállalással terhetl maradványának részét képezi.</t>
  </si>
  <si>
    <t>IIER működtetése</t>
  </si>
  <si>
    <t>A biztosított összeg 100%-ban felhasználásra került. Az MgSzH a részletes elszámolást a 03.1/178-1/2011. sz. ügyiratban, 2011. március 18-án benyújotta a VM Költségvetési sé Gazdálkodási Főosztály részére.</t>
  </si>
  <si>
    <t>EMMRE pótkeret</t>
  </si>
  <si>
    <t>Az EMMRE-feladatok folytatásához kapcsolódóan átutalt forrás az erdészeti szakigagzatás által teljes egészében felhsználásra került.</t>
  </si>
  <si>
    <t>EG03I/16, 37, 38</t>
  </si>
  <si>
    <t>06.21
11.30
11.30</t>
  </si>
  <si>
    <t>A VM-forrás a parlagfű kutatási feladatokra, illetve a Növényvédelmi Gyűjteménytárral kapcsolatos elhelyezés megvalósítására szolgált, melyet a megyei MgSzH NTI teljes egészében felhsznált.</t>
  </si>
  <si>
    <t>Parlagfű elleni közérdekű
védekezés 19 megye</t>
  </si>
  <si>
    <t>A Parlagfű … fejezeti kezelésű előirányzat 2009. évi maradványából a VM pénzeszközt biztosított a megyei MgSzH NTI-k részére a parlagfű ell. véd. hatósági feladatok ellátására, továbbképzések lebonyolítására, kutatásra és kiadványkészítésre.</t>
  </si>
  <si>
    <t>EG03I/05, 32</t>
  </si>
  <si>
    <t>04.28
11.16</t>
  </si>
  <si>
    <t>Bor forgalomba hozatali
járulék 1-2.</t>
  </si>
  <si>
    <t>A bortörvény alapján a befizetett járulék 40%-át minőségellenrőzési feladatokra az MgSzH használhathja fel. A 2010. II. félévi elszámolást + göngyölített adatokat az MgSzH 03.1/116-1/2011. sz. ügyiratában 2011. február 17-én megküldte a VM Élelmiszerlánc-Felügyeleti Főosztály részére.</t>
  </si>
  <si>
    <t>Twinning (Észt pályázat)
maradványa</t>
  </si>
  <si>
    <t>A pénzeszközt az MgSzH az Élelmiszer- és Takarmánybiztonsági Igazgatóság épületgépészéti feladatainak finanszírozására fordította.</t>
  </si>
  <si>
    <t>EG03I/2, 4, 12, 28, 51</t>
  </si>
  <si>
    <t>04.06
04.12
05.27
09.30
12.28</t>
  </si>
  <si>
    <t>Állat- és növénykártalanítás
intézm.járványvéd.kiad.tér.</t>
  </si>
  <si>
    <t>2008. évi XLVI.tv 24.§ (1) d) alapján az "Állat- és növénykártalanítás" fejezeti kezelésű előirányzat terhére igényelt és biztosított pénzeszközök az MgSzH járványvédelmi feladatainak keretében felmerült hatósági kiadások (mintavételezés és laboratóriumi vizsgálatok) finanszírozására kerültek felhasználásra. A különbözet egy téves összeggel benyújtott módosításból származik.</t>
  </si>
  <si>
    <t>EMMRE 2010. évi feladatok</t>
  </si>
  <si>
    <t>Az EMMRE 2010. évi feladataira biztosított pénzeszköz teljes egészében az MgSzH 2010. évi kötelezettség-vállalással terhelt maradványának részét képezi.</t>
  </si>
  <si>
    <t xml:space="preserve">* ebből 40.202 ezer Ft a következő évben esedékes törlesztőrészlet </t>
  </si>
  <si>
    <t>(a mérlegben az egyéb követelések között van kimutatva).</t>
  </si>
  <si>
    <t>VM Irányító Szervezete</t>
  </si>
  <si>
    <t>Nyerstej minősítő vizsgálatok támogatása megállapodás alapján</t>
  </si>
  <si>
    <t>Mezőgazdasági és Vidékfejlesztési Hivatal</t>
  </si>
  <si>
    <t>DSZ/2/2009 EU-s jogszabályok helyszíni ellenőrzése</t>
  </si>
  <si>
    <t>DSZ/3/2010 sűrített szőlőmust alkalmazásának támogatása</t>
  </si>
  <si>
    <t>DSZ/4/2010 szőlőtermelésből való végleges kivonás támogatása</t>
  </si>
  <si>
    <t>DSZ/5/2010 EU-s jogszabályok helyszíni ellenőrzése</t>
  </si>
  <si>
    <t>DSZ/6/2010 EU-s jogszabályok helyszíni ellenörzése TS</t>
  </si>
  <si>
    <t>DSZ/7/2010 Erdőterületek felmérése TS</t>
  </si>
  <si>
    <t>DSZ/7/2009 Erdőterületek felmérése TS</t>
  </si>
  <si>
    <t>Állatbetegségek, zoonózisok felszámolása, megfigyelése 38/2009.(IV.08.) FVM r. és 45/2010.(IV.23.)FVM r.alapján (Központ)</t>
  </si>
  <si>
    <t>Állatbetegségek, zoonózisok felszámolása, megfigyelése 38/2009.(IV.08.) FVM r. és 45/2010.(IV.23.)FVM r.alapján (Megyék)</t>
  </si>
  <si>
    <t>Növényegészségügyi vizsgálatok támogatása 117/2007. (X.10.) FVM r. alapján</t>
  </si>
  <si>
    <t>VM "Állat- és növénykártalanítás" előirányzat</t>
  </si>
  <si>
    <t>Állami költségen végzett járványvédelmi vizsgálatok fedezete</t>
  </si>
  <si>
    <t>MVH (Baromfi- ill. Vágóállat-és Hús Terméktanácson keresztül</t>
  </si>
  <si>
    <t>Támogatott diagnosztikai vizsgálatok fedezete 148/2007. (XII. 8.) FVM r. alapján (Központ)</t>
  </si>
  <si>
    <t>Támogatott diagnosztikai vizsgálatok fedezetére 148/2007. (XII. 8.) FVM r. alapján jogosulatlanul kapott tám.visszautalása</t>
  </si>
  <si>
    <t>Támogatott diagnosztikai vizsgálatok fedezete 148/2007. (XII. 8.) FVM r. alapján (Megye)</t>
  </si>
  <si>
    <t>FVM Vidékfejlesztési, Képzési és Szaktanácsadási Intézet</t>
  </si>
  <si>
    <t xml:space="preserve">Észt twinning program </t>
  </si>
  <si>
    <t>VM "Fenntartható erdőgazdálkodási támogatás"előirányzat</t>
  </si>
  <si>
    <t>Erdővédelmi Mérő- és Megfigyelő Rendszer FutMon feladatok</t>
  </si>
  <si>
    <t>EMVA erdészeti potenciál helyreállítása</t>
  </si>
  <si>
    <t>Országos Meteorlógiai Szolgálat</t>
  </si>
  <si>
    <t>Üvegházhatású gázok számítása</t>
  </si>
  <si>
    <t>VM  "Bormarketing és minőség-ellenőrzés" előirányzat</t>
  </si>
  <si>
    <t>Bor forgalombahozatali járulék 2010. évi</t>
  </si>
  <si>
    <t>Bor forgalombahozatali járulék 2009. évi</t>
  </si>
  <si>
    <t>Borminőség ellenőrzésre</t>
  </si>
  <si>
    <t>Veszprém megyei Földhivatal</t>
  </si>
  <si>
    <t>Osztatlan közös tulajdon megszerzésének költségei</t>
  </si>
  <si>
    <t>Területalapú támogatás (Központ)</t>
  </si>
  <si>
    <t>Területalapú támogatás (Megyék)</t>
  </si>
  <si>
    <t>APEH Agrártermelési támogatás folyósítása</t>
  </si>
  <si>
    <t>Mezőőri szolgálat agrártermelési szolgáltatás</t>
  </si>
  <si>
    <t>EKOP KM alkalmazás keretprogram</t>
  </si>
  <si>
    <t>PM Informatikai Szolgáltató Központ</t>
  </si>
  <si>
    <t>VPOP projekt</t>
  </si>
  <si>
    <t>Központi Statisztikai Hivatal</t>
  </si>
  <si>
    <t>Növényegészégügyi együttműködés utófinanszírozása</t>
  </si>
  <si>
    <t>Nemzeti Fejlesztési Ügynökség</t>
  </si>
  <si>
    <t>TIOP akadálymentesítési projekt (Békés megye)</t>
  </si>
  <si>
    <t>VM "EU tagságból eredő feladatok" előirányzat</t>
  </si>
  <si>
    <t>Futmon Life EMMRE erdészeti feladatok</t>
  </si>
  <si>
    <t>VM "Génbanki tevékenység feladatfinanszírozása" előirányzat</t>
  </si>
  <si>
    <t>Nemzeti Génbank Nyilvántartás kialakítása</t>
  </si>
  <si>
    <t>VM "Központosított bevételből finanszírozott intézményi feladatok" előirányzat</t>
  </si>
  <si>
    <t>Integrált Irányítási és Ellenőrzési Rendszer működtetése</t>
  </si>
  <si>
    <t>VM "Parlagfű elleni közérdekű védekezés végrahajtásának támogatása"előirányzat</t>
  </si>
  <si>
    <t>Herbológiai, növényvédelmi gyűjteménytár kialakításának támogatása (Fejér megye)</t>
  </si>
  <si>
    <t>Parlagfű elleni védekezés támogatása feladatterv alapján (Csongrád, Győr, Szolnok, Vas, Zala m-i MgSzH)</t>
  </si>
  <si>
    <t>Tejtermelők támogatása érdekében tett intézkedések miatt elmaradt bevételek pótlása</t>
  </si>
  <si>
    <t>Parlagfű elleni védekezés támogatása feladatterv alapján (Fejér megye)</t>
  </si>
  <si>
    <t>Osztatlan közös földtulajdon kimérés költségeinek megelőlegezésére</t>
  </si>
  <si>
    <t>Kutatási és Technológiai Innovációs Alap</t>
  </si>
  <si>
    <t>Sosklíma növ.term. pályázat</t>
  </si>
  <si>
    <t>Quatomel növ.term. pályázat</t>
  </si>
  <si>
    <t>TÉT Magyar-Cseh kormányközi kutatási együttműködés</t>
  </si>
  <si>
    <t>TÉT Magyar-Szlovén kormányközi kutatási együttműködés</t>
  </si>
  <si>
    <t>TÉT Magyar-Szlovén kormányközi kutatási együttműködés (Fejér megye)</t>
  </si>
  <si>
    <t>Nyírbátor és Körzete Többcélú Kistérségi Társaság</t>
  </si>
  <si>
    <t>Kistérségi támogatás (Szabolcs megye)</t>
  </si>
  <si>
    <t>MVH KESZ-ről megelőlegezett EU-s tám.</t>
  </si>
  <si>
    <t>Állatbetegségek, zoonózisok felszámolása, megfigyelése 38/2009.(IV.08.) FVM r. és 45/2010.(IV.23.)FVM r.alapján (megyék)</t>
  </si>
  <si>
    <t>Európai Unió</t>
  </si>
  <si>
    <t>Állatbetegségek, zoonózisok felszámolásának, megfigyelésének 2008. évi költségeinek megtérítéséből Központnál maradt támogatás</t>
  </si>
  <si>
    <t>Parlagfű kiadások támogatása visszatérülésekből (Baranya, Csongrád megye)</t>
  </si>
  <si>
    <t>Parlagfű közérdekű védekezés vissztérült előlegek felhasználása</t>
  </si>
  <si>
    <t>EU MVH-n keresztül</t>
  </si>
  <si>
    <t>Területalapú támogatás (Szolnok)</t>
  </si>
  <si>
    <t>Területalapú támogatás (Vas)</t>
  </si>
  <si>
    <t>Versenyképességi és Innovációs Végrehajtó Ügynökség (EACI)</t>
  </si>
  <si>
    <t>ECO-Protector növényeü. pályázat (Fejér)</t>
  </si>
  <si>
    <t>Advance Pepeira NL</t>
  </si>
  <si>
    <t>Pepeira növényeü. pályázat (Csongrád)</t>
  </si>
  <si>
    <t>2006. évi madárinfluenza elleni védekezés költségeinek utólagos megtérítése</t>
  </si>
  <si>
    <t>EuroNeut pályázat 2009. évi bevétel átvezetés</t>
  </si>
  <si>
    <t>Sertéspesti kutatás pályázat 2009. évi bevétel átvezetés</t>
  </si>
  <si>
    <t>GS Soil pályázat</t>
  </si>
  <si>
    <t>Statens Veterinar Medicinska</t>
  </si>
  <si>
    <t>Cranfield University</t>
  </si>
  <si>
    <t>Envasso agrárkörny.védelmi pályázat</t>
  </si>
  <si>
    <t>Devizás utóterhelés átvezetés</t>
  </si>
  <si>
    <t>Life+ Pannon Magbank pályázat 2009. évi bevétel átvezetés</t>
  </si>
  <si>
    <t>EMEA pályázat</t>
  </si>
  <si>
    <t>CAP oltóanyag ellenőrzési pályázat</t>
  </si>
  <si>
    <t>International Plant Genetric Resorces Institut</t>
  </si>
  <si>
    <t>GCDT projekt vetőmag biztonsági készlet újravetés</t>
  </si>
  <si>
    <t>Statens Veterinarmedicinska  Anstalt</t>
  </si>
  <si>
    <t>AniBioThreat biobiztonsági projekt</t>
  </si>
  <si>
    <t>Merial SAS ServiceTresorerie</t>
  </si>
  <si>
    <t>Novaduck pályázat</t>
  </si>
  <si>
    <t>Nemzeti Lovarda fűtéskorszerűsítés projekt</t>
  </si>
  <si>
    <t>NFÜ/MVH</t>
  </si>
  <si>
    <t>EKOP KM alkalmazás projekt</t>
  </si>
  <si>
    <t>EKOP VPOP projekt</t>
  </si>
  <si>
    <t>TIOP akadálymentesítési projekt (Fejér megye)</t>
  </si>
</sst>
</file>

<file path=xl/styles.xml><?xml version="1.0" encoding="utf-8"?>
<styleSheet xmlns="http://schemas.openxmlformats.org/spreadsheetml/2006/main">
  <numFmts count="6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0\)"/>
    <numFmt numFmtId="165" formatCode="&quot;Igen&quot;;&quot;Igen&quot;;&quot;Nem&quot;"/>
    <numFmt numFmtId="166" formatCode="&quot;Igaz&quot;;&quot;Igaz&quot;;&quot;Hamis&quot;"/>
    <numFmt numFmtId="167" formatCode="&quot;Be&quot;;&quot;Be&quot;;&quot;Ki&quot;"/>
    <numFmt numFmtId="168" formatCode="#,##0.0"/>
    <numFmt numFmtId="169" formatCode="0.0"/>
    <numFmt numFmtId="170" formatCode="000000"/>
    <numFmt numFmtId="171" formatCode="s\i"/>
    <numFmt numFmtId="172" formatCode="#,##0.000"/>
    <numFmt numFmtId="173" formatCode="0.000"/>
    <numFmt numFmtId="174" formatCode="\$#,##0\ ;[Red]\(\$#,##0\)"/>
    <numFmt numFmtId="175" formatCode="\$#,##0.00\ ;\(\$#,##0.00\)"/>
    <numFmt numFmtId="176" formatCode="\$#,##0.00\ ;[Red]\(\$#,##0.00\)"/>
    <numFmt numFmtId="177" formatCode="#\ ?/?"/>
    <numFmt numFmtId="178" formatCode="#\ ??/??"/>
    <numFmt numFmtId="179" formatCode="m/d/yy"/>
    <numFmt numFmtId="180" formatCode="d\-mmm\-yy"/>
    <numFmt numFmtId="181" formatCode="d\-mmm"/>
    <numFmt numFmtId="182" formatCode="mmm\-yy"/>
    <numFmt numFmtId="183" formatCode="m/d/yy\ h:mm"/>
    <numFmt numFmtId="184" formatCode="m/d"/>
    <numFmt numFmtId="185" formatCode="0.0%"/>
    <numFmt numFmtId="186" formatCode="#,##0\ &quot;mk&quot;;\-#,##0\ &quot;mk&quot;"/>
    <numFmt numFmtId="187" formatCode="#,##0\ &quot;mk&quot;;[Red]\-#,##0\ &quot;mk&quot;"/>
    <numFmt numFmtId="188" formatCode="#,##0.00\ &quot;mk&quot;;\-#,##0.00\ &quot;mk&quot;"/>
    <numFmt numFmtId="189" formatCode="#,##0.00\ &quot;mk&quot;;[Red]\-#,##0.00\ &quot;mk&quot;"/>
    <numFmt numFmtId="190" formatCode="_-* #,##0\ &quot;mk&quot;_-;\-* #,##0\ &quot;mk&quot;_-;_-* &quot;-&quot;\ &quot;mk&quot;_-;_-@_-"/>
    <numFmt numFmtId="191" formatCode="_-* #,##0\ _m_k_-;\-* #,##0\ _m_k_-;_-* &quot;-&quot;\ _m_k_-;_-@_-"/>
    <numFmt numFmtId="192" formatCode="_-* #,##0.00\ &quot;mk&quot;_-;\-* #,##0.00\ &quot;mk&quot;_-;_-* &quot;-&quot;??\ &quot;mk&quot;_-;_-@_-"/>
    <numFmt numFmtId="193" formatCode="_-* #,##0.00\ _m_k_-;\-* #,##0.00\ _m_k_-;_-* &quot;-&quot;??\ _m_k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000\-0\-00"/>
    <numFmt numFmtId="203" formatCode="&quot;H-&quot;0000"/>
    <numFmt numFmtId="204" formatCode="#,##0_-\ &quot;Ft&quot;;#,##0\-\ &quot;Ft&quot;"/>
    <numFmt numFmtId="205" formatCode="#,##0_-\ &quot;Ft&quot;;[Red]#,##0\-\ &quot;Ft&quot;"/>
    <numFmt numFmtId="206" formatCode="#,##0.00_-\ &quot;Ft&quot;;#,##0.00\-\ &quot;Ft&quot;"/>
    <numFmt numFmtId="207" formatCode="#,##0.00_-\ &quot;Ft&quot;;[Red]#,##0.00\-\ &quot;Ft&quot;"/>
    <numFmt numFmtId="208" formatCode="_ * #,##0_-\ &quot;Ft&quot;_ ;_ * #,##0\-\ &quot;Ft&quot;_ ;_ * &quot;-&quot;_-\ &quot;Ft&quot;_ ;_ @_ "/>
    <numFmt numFmtId="209" formatCode="_ * #,##0_-\ _F_t_ ;_ * #,##0\-\ _F_t_ ;_ * &quot;-&quot;_-\ _F_t_ ;_ @_ "/>
    <numFmt numFmtId="210" formatCode="_ * #,##0.00_-\ &quot;Ft&quot;_ ;_ * #,##0.00\-\ &quot;Ft&quot;_ ;_ * &quot;-&quot;??_-\ &quot;Ft&quot;_ ;_ @_ "/>
    <numFmt numFmtId="211" formatCode="_ * #,##0.00_-\ _F_t_ ;_ * #,##0.00\-\ _F_t_ ;_ * &quot;-&quot;??_-\ _F_t_ ;_ @_ "/>
    <numFmt numFmtId="212" formatCode="&quot;Ft&quot;#,##0;&quot;Ft&quot;\-#,##0"/>
    <numFmt numFmtId="213" formatCode="&quot;Ft&quot;#,##0;[Red]&quot;Ft&quot;\-#,##0"/>
    <numFmt numFmtId="214" formatCode="&quot;Ft&quot;#,##0.00;&quot;Ft&quot;\-#,##0.00"/>
    <numFmt numFmtId="215" formatCode="&quot;Ft&quot;#,##0.00;[Red]&quot;Ft&quot;\-#,##0.00"/>
    <numFmt numFmtId="216" formatCode="_ &quot;Ft&quot;* #,##0_ ;_ &quot;Ft&quot;* \-#,##0_ ;_ &quot;Ft&quot;* &quot;-&quot;_ ;_ @_ "/>
    <numFmt numFmtId="217" formatCode="_ * #,##0_ ;_ * \-#,##0_ ;_ * &quot;-&quot;_ ;_ @_ "/>
    <numFmt numFmtId="218" formatCode="_ &quot;Ft&quot;* #,##0.00_ ;_ &quot;Ft&quot;* \-#,##0.00_ ;_ &quot;Ft&quot;* &quot;-&quot;??_ ;_ @_ "/>
    <numFmt numFmtId="219" formatCode="_ * #,##0.00_ ;_ * \-#,##0.00_ ;_ * &quot;-&quot;??_ ;_ @_ "/>
    <numFmt numFmtId="220" formatCode="#,##0.0\ ;[Red]\-#,##0.0\ "/>
    <numFmt numFmtId="221" formatCode="#,##0\ ;[Red]\-#,##0\ "/>
    <numFmt numFmtId="222" formatCode="#,##0.0\ _F_t;[Red]\-#,##0.0\ _F_t"/>
    <numFmt numFmtId="223" formatCode="[$-40E]yyyy\.\ mmmm\ d\."/>
    <numFmt numFmtId="224" formatCode="#,##0\ [$€-1];[Red]\-#,##0\ [$€-1]"/>
  </numFmts>
  <fonts count="98">
    <font>
      <sz val="10"/>
      <name val="MS Sans Serif"/>
      <family val="0"/>
    </font>
    <font>
      <b/>
      <sz val="10"/>
      <name val="MS Sans Serif"/>
      <family val="0"/>
    </font>
    <font>
      <i/>
      <sz val="10"/>
      <name val="MS Sans Serif"/>
      <family val="0"/>
    </font>
    <font>
      <b/>
      <i/>
      <sz val="10"/>
      <name val="MS Sans Serif"/>
      <family val="0"/>
    </font>
    <font>
      <sz val="12"/>
      <color indexed="22"/>
      <name val="Times New Roman"/>
      <family val="1"/>
    </font>
    <font>
      <sz val="18"/>
      <color indexed="22"/>
      <name val="Times New Roman"/>
      <family val="1"/>
    </font>
    <font>
      <sz val="8"/>
      <color indexed="22"/>
      <name val="Times New Roman"/>
      <family val="1"/>
    </font>
    <font>
      <u val="single"/>
      <sz val="12"/>
      <color indexed="12"/>
      <name val="Arial CE"/>
      <family val="0"/>
    </font>
    <font>
      <u val="single"/>
      <sz val="12"/>
      <color indexed="20"/>
      <name val="Times New Roman CE"/>
      <family val="0"/>
    </font>
    <font>
      <sz val="10"/>
      <name val="Arial CE"/>
      <family val="0"/>
    </font>
    <font>
      <sz val="8"/>
      <name val="MS Sans Serif"/>
      <family val="2"/>
    </font>
    <font>
      <sz val="10"/>
      <name val="Times New Roman CE"/>
      <family val="1"/>
    </font>
    <font>
      <sz val="12"/>
      <name val="Times New Roman CE"/>
      <family val="1"/>
    </font>
    <font>
      <b/>
      <sz val="12"/>
      <name val="Times New Roman CE"/>
      <family val="1"/>
    </font>
    <font>
      <b/>
      <sz val="14"/>
      <name val="Times New Roman CE"/>
      <family val="1"/>
    </font>
    <font>
      <sz val="12"/>
      <name val="Arial"/>
      <family val="2"/>
    </font>
    <font>
      <sz val="12"/>
      <name val="Times New Roman"/>
      <family val="1"/>
    </font>
    <font>
      <i/>
      <sz val="12"/>
      <name val="Times New Roman"/>
      <family val="1"/>
    </font>
    <font>
      <b/>
      <sz val="12"/>
      <name val="Times New Roman"/>
      <family val="1"/>
    </font>
    <font>
      <i/>
      <sz val="12"/>
      <name val="Times New Roman CE"/>
      <family val="1"/>
    </font>
    <font>
      <u val="single"/>
      <sz val="12"/>
      <name val="Times New Roman"/>
      <family val="1"/>
    </font>
    <font>
      <u val="single"/>
      <sz val="12"/>
      <name val="Times New Roman CE"/>
      <family val="1"/>
    </font>
    <font>
      <b/>
      <sz val="14"/>
      <name val="Times New Roman"/>
      <family val="1"/>
    </font>
    <font>
      <sz val="11"/>
      <color indexed="8"/>
      <name val="Calibri"/>
      <family val="2"/>
    </font>
    <font>
      <sz val="10"/>
      <name val="StoneInformal"/>
      <family val="0"/>
    </font>
    <font>
      <sz val="10"/>
      <name val="Arial"/>
      <family val="2"/>
    </font>
    <font>
      <b/>
      <sz val="10"/>
      <name val="Times New Roman"/>
      <family val="1"/>
    </font>
    <font>
      <sz val="10"/>
      <name val="Times New Roman"/>
      <family val="1"/>
    </font>
    <font>
      <b/>
      <sz val="9"/>
      <color indexed="8"/>
      <name val="Times New Roman"/>
      <family val="1"/>
    </font>
    <font>
      <sz val="9"/>
      <color indexed="8"/>
      <name val="Times New Roman"/>
      <family val="1"/>
    </font>
    <font>
      <sz val="9"/>
      <name val="Times New Roman"/>
      <family val="1"/>
    </font>
    <font>
      <b/>
      <sz val="9"/>
      <name val="Times New Roman"/>
      <family val="1"/>
    </font>
    <font>
      <b/>
      <sz val="10"/>
      <name val="Arial"/>
      <family val="2"/>
    </font>
    <font>
      <b/>
      <sz val="11"/>
      <name val="Times New Roman"/>
      <family val="1"/>
    </font>
    <font>
      <sz val="14"/>
      <name val="Times New Roman"/>
      <family val="1"/>
    </font>
    <font>
      <sz val="11"/>
      <name val="Times New Roman"/>
      <family val="1"/>
    </font>
    <font>
      <b/>
      <sz val="10"/>
      <color indexed="8"/>
      <name val="Times New Roman"/>
      <family val="1"/>
    </font>
    <font>
      <sz val="10"/>
      <color indexed="8"/>
      <name val="Times New Roman"/>
      <family val="1"/>
    </font>
    <font>
      <b/>
      <sz val="10"/>
      <name val="Times New Roman CE"/>
      <family val="0"/>
    </font>
    <font>
      <sz val="10"/>
      <name val="Calibri"/>
      <family val="2"/>
    </font>
    <font>
      <b/>
      <sz val="8"/>
      <name val="Times New Roman"/>
      <family val="1"/>
    </font>
    <font>
      <i/>
      <sz val="9"/>
      <name val="Times New Roman"/>
      <family val="1"/>
    </font>
    <font>
      <i/>
      <sz val="10"/>
      <name val="Times New Roman"/>
      <family val="1"/>
    </font>
    <font>
      <b/>
      <i/>
      <sz val="10"/>
      <name val="Times New Roman"/>
      <family val="1"/>
    </font>
    <font>
      <sz val="8"/>
      <name val="Times New Roman"/>
      <family val="1"/>
    </font>
    <font>
      <sz val="10"/>
      <color indexed="8"/>
      <name val="Calibri"/>
      <family val="2"/>
    </font>
    <font>
      <b/>
      <sz val="10"/>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10"/>
      <name val="Times New Roman"/>
      <family val="1"/>
    </font>
    <font>
      <sz val="10"/>
      <color indexed="10"/>
      <name val="Times New Roman"/>
      <family val="1"/>
    </font>
    <font>
      <b/>
      <sz val="9"/>
      <color indexed="10"/>
      <name val="Times New Roman"/>
      <family val="1"/>
    </font>
    <font>
      <sz val="9"/>
      <color indexed="10"/>
      <name val="Times New Roman"/>
      <family val="1"/>
    </font>
    <font>
      <sz val="12"/>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FF0000"/>
      <name val="Times New Roman"/>
      <family val="1"/>
    </font>
    <font>
      <sz val="10"/>
      <color rgb="FFFF0000"/>
      <name val="Times New Roman"/>
      <family val="1"/>
    </font>
    <font>
      <b/>
      <sz val="9"/>
      <color theme="1"/>
      <name val="Times New Roman"/>
      <family val="1"/>
    </font>
    <font>
      <b/>
      <sz val="9"/>
      <color rgb="FF000000"/>
      <name val="Times New Roman"/>
      <family val="1"/>
    </font>
    <font>
      <sz val="9"/>
      <color theme="1"/>
      <name val="Times New Roman"/>
      <family val="1"/>
    </font>
    <font>
      <sz val="9"/>
      <color rgb="FF000000"/>
      <name val="Times New Roman"/>
      <family val="1"/>
    </font>
    <font>
      <b/>
      <sz val="9"/>
      <color rgb="FFFF0000"/>
      <name val="Times New Roman"/>
      <family val="1"/>
    </font>
    <font>
      <sz val="9"/>
      <color rgb="FFFF0000"/>
      <name val="Times New Roman"/>
      <family val="1"/>
    </font>
    <font>
      <sz val="10"/>
      <color theme="1"/>
      <name val="Times New Roman"/>
      <family val="1"/>
    </font>
    <font>
      <b/>
      <sz val="10"/>
      <color theme="1"/>
      <name val="Times New Roman"/>
      <family val="1"/>
    </font>
    <font>
      <sz val="10"/>
      <color rgb="FF000000"/>
      <name val="Times New Roman"/>
      <family val="1"/>
    </font>
    <font>
      <sz val="12"/>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13"/>
        <bgColor indexed="64"/>
      </patternFill>
    </fill>
    <fill>
      <patternFill patternType="solid">
        <fgColor theme="3" tint="0.7999799847602844"/>
        <bgColor indexed="64"/>
      </patternFill>
    </fill>
    <fill>
      <patternFill patternType="solid">
        <fgColor indexed="45"/>
        <bgColor indexed="64"/>
      </patternFill>
    </fill>
    <fill>
      <patternFill patternType="solid">
        <fgColor indexed="9"/>
        <bgColor indexed="64"/>
      </patternFill>
    </fill>
    <fill>
      <patternFill patternType="solid">
        <fgColor rgb="FF00B0F0"/>
        <bgColor indexed="64"/>
      </patternFill>
    </fill>
    <fill>
      <patternFill patternType="gray125">
        <bgColor indexed="9"/>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color indexed="63"/>
      </right>
      <top style="thick"/>
      <bottom style="thick"/>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color indexed="63"/>
      </top>
      <bottom style="thin"/>
    </border>
    <border>
      <left style="thin"/>
      <right style="thick"/>
      <top>
        <color indexed="63"/>
      </top>
      <bottom style="thin"/>
    </border>
    <border>
      <left style="thick"/>
      <right>
        <color indexed="63"/>
      </right>
      <top style="thin"/>
      <bottom style="thick"/>
    </border>
    <border>
      <left>
        <color indexed="63"/>
      </left>
      <right style="thin"/>
      <top style="thin"/>
      <bottom style="thick"/>
    </border>
    <border>
      <left style="thick"/>
      <right style="thin"/>
      <top style="thin"/>
      <bottom>
        <color indexed="63"/>
      </bottom>
    </border>
    <border>
      <left style="thin"/>
      <right style="thick"/>
      <top style="thin"/>
      <bottom>
        <color indexed="63"/>
      </bottom>
    </border>
    <border>
      <left style="thick"/>
      <right style="thick"/>
      <top style="thick"/>
      <bottom style="thick"/>
    </border>
    <border>
      <left>
        <color indexed="63"/>
      </left>
      <right style="thin"/>
      <top style="thin"/>
      <bottom style="thin"/>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left style="thin"/>
      <right style="thin"/>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thin"/>
    </border>
    <border>
      <left style="medium"/>
      <right>
        <color indexed="63"/>
      </right>
      <top style="thin"/>
      <bottom style="medium"/>
    </border>
    <border>
      <left>
        <color indexed="63"/>
      </left>
      <right style="thin"/>
      <top style="thin"/>
      <bottom style="medium"/>
    </border>
    <border>
      <left style="thick"/>
      <right>
        <color indexed="63"/>
      </right>
      <top style="thick"/>
      <bottom style="thick"/>
    </border>
    <border>
      <left>
        <color indexed="63"/>
      </left>
      <right style="thin"/>
      <top style="thick"/>
      <bottom style="thick"/>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0" applyNumberFormat="0" applyFill="0" applyBorder="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0" fontId="7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0" fontId="77" fillId="0" borderId="0" applyNumberForma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8" fillId="0" borderId="6" applyNumberFormat="0" applyFill="0" applyAlignment="0" applyProtection="0"/>
    <xf numFmtId="0" fontId="0" fillId="22" borderId="7" applyNumberFormat="0" applyFont="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9" fillId="29" borderId="0" applyNumberFormat="0" applyBorder="0" applyAlignment="0" applyProtection="0"/>
    <xf numFmtId="0" fontId="80" fillId="30" borderId="8" applyNumberFormat="0" applyAlignment="0" applyProtection="0"/>
    <xf numFmtId="0" fontId="8" fillId="0" borderId="0" applyNumberFormat="0" applyFill="0" applyBorder="0" applyAlignment="0" applyProtection="0"/>
    <xf numFmtId="0" fontId="81" fillId="0" borderId="0" applyNumberFormat="0" applyFill="0" applyBorder="0" applyAlignment="0" applyProtection="0"/>
    <xf numFmtId="0" fontId="0" fillId="0" borderId="0">
      <alignment/>
      <protection/>
    </xf>
    <xf numFmtId="0" fontId="9" fillId="0" borderId="0">
      <alignment/>
      <protection/>
    </xf>
    <xf numFmtId="0" fontId="0" fillId="0" borderId="0">
      <alignment/>
      <protection/>
    </xf>
    <xf numFmtId="0" fontId="9" fillId="0" borderId="0">
      <alignment/>
      <protection/>
    </xf>
    <xf numFmtId="0" fontId="69" fillId="0" borderId="0">
      <alignment/>
      <protection/>
    </xf>
    <xf numFmtId="0" fontId="23" fillId="0" borderId="0">
      <alignment/>
      <protection/>
    </xf>
    <xf numFmtId="0" fontId="69" fillId="0" borderId="0">
      <alignment/>
      <protection/>
    </xf>
    <xf numFmtId="0" fontId="25" fillId="0" borderId="0">
      <alignment/>
      <protection/>
    </xf>
    <xf numFmtId="0" fontId="23" fillId="0" borderId="0">
      <alignment/>
      <protection/>
    </xf>
    <xf numFmtId="0" fontId="25" fillId="0" borderId="0">
      <alignment/>
      <protection/>
    </xf>
    <xf numFmtId="0" fontId="0" fillId="0" borderId="0">
      <alignment/>
      <protection/>
    </xf>
    <xf numFmtId="0" fontId="25" fillId="0" borderId="0">
      <alignment/>
      <protection/>
    </xf>
    <xf numFmtId="0" fontId="9" fillId="0" borderId="0">
      <alignment/>
      <protection/>
    </xf>
    <xf numFmtId="0" fontId="25" fillId="0" borderId="0">
      <alignment/>
      <protection/>
    </xf>
    <xf numFmtId="0" fontId="11" fillId="0" borderId="0">
      <alignment/>
      <protection/>
    </xf>
    <xf numFmtId="0" fontId="8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84" fillId="32" borderId="0" applyNumberFormat="0" applyBorder="0" applyAlignment="0" applyProtection="0"/>
    <xf numFmtId="0" fontId="85" fillId="30" borderId="1" applyNumberFormat="0" applyAlignment="0" applyProtection="0"/>
    <xf numFmtId="9" fontId="0" fillId="0" borderId="0" applyFont="0" applyFill="0" applyBorder="0" applyAlignment="0" applyProtection="0"/>
    <xf numFmtId="0" fontId="4" fillId="0" borderId="10" applyNumberFormat="0" applyFont="0" applyFill="0" applyAlignment="0" applyProtection="0"/>
  </cellStyleXfs>
  <cellXfs count="644">
    <xf numFmtId="0" fontId="0" fillId="0" borderId="0" xfId="0" applyAlignment="1">
      <alignment/>
    </xf>
    <xf numFmtId="0" fontId="12" fillId="0" borderId="0" xfId="0" applyFont="1" applyAlignment="1">
      <alignment/>
    </xf>
    <xf numFmtId="0" fontId="13" fillId="0" borderId="0" xfId="0" applyFont="1" applyAlignment="1">
      <alignment horizontal="center"/>
    </xf>
    <xf numFmtId="0" fontId="12" fillId="0" borderId="0" xfId="0" applyFont="1" applyAlignment="1">
      <alignment horizontal="left"/>
    </xf>
    <xf numFmtId="0" fontId="14" fillId="0" borderId="0" xfId="0" applyFont="1" applyAlignment="1">
      <alignment horizontal="center"/>
    </xf>
    <xf numFmtId="0" fontId="16" fillId="0" borderId="0" xfId="0" applyFont="1" applyAlignment="1">
      <alignment horizontal="justify"/>
    </xf>
    <xf numFmtId="0" fontId="16" fillId="0" borderId="0" xfId="0" applyFont="1" applyAlignment="1">
      <alignment horizontal="center"/>
    </xf>
    <xf numFmtId="0" fontId="12" fillId="0" borderId="0" xfId="0" applyFont="1" applyAlignment="1">
      <alignment horizontal="right"/>
    </xf>
    <xf numFmtId="0" fontId="11" fillId="0" borderId="0" xfId="0" applyFont="1" applyAlignment="1">
      <alignment/>
    </xf>
    <xf numFmtId="0" fontId="12" fillId="0" borderId="11" xfId="0" applyFont="1" applyBorder="1" applyAlignment="1">
      <alignment horizontal="justify" vertical="top" wrapText="1"/>
    </xf>
    <xf numFmtId="0" fontId="12" fillId="0" borderId="11" xfId="0" applyFont="1" applyBorder="1" applyAlignment="1">
      <alignment horizontal="center" vertical="top" wrapText="1"/>
    </xf>
    <xf numFmtId="0" fontId="19" fillId="0" borderId="0" xfId="0" applyFont="1" applyAlignment="1">
      <alignment horizontal="right"/>
    </xf>
    <xf numFmtId="3" fontId="12" fillId="0" borderId="11" xfId="0" applyNumberFormat="1" applyFont="1" applyBorder="1" applyAlignment="1">
      <alignment horizontal="right" vertical="top" wrapText="1"/>
    </xf>
    <xf numFmtId="3" fontId="12" fillId="0" borderId="11" xfId="0" applyNumberFormat="1" applyFont="1" applyBorder="1" applyAlignment="1">
      <alignment/>
    </xf>
    <xf numFmtId="0" fontId="17" fillId="0" borderId="0" xfId="0" applyFont="1" applyAlignment="1">
      <alignment horizontal="right"/>
    </xf>
    <xf numFmtId="0" fontId="20" fillId="0" borderId="0" xfId="0" applyFont="1" applyAlignment="1">
      <alignment horizontal="justify"/>
    </xf>
    <xf numFmtId="0" fontId="13" fillId="0" borderId="0" xfId="0" applyFont="1" applyAlignment="1">
      <alignment horizontal="left" indent="12"/>
    </xf>
    <xf numFmtId="0" fontId="21" fillId="0" borderId="0" xfId="0" applyFont="1" applyAlignment="1">
      <alignment/>
    </xf>
    <xf numFmtId="0" fontId="12" fillId="0" borderId="0" xfId="0" applyFont="1" applyAlignment="1">
      <alignment horizontal="justify"/>
    </xf>
    <xf numFmtId="0" fontId="21" fillId="0" borderId="0" xfId="0" applyFont="1" applyAlignment="1">
      <alignment horizontal="justify"/>
    </xf>
    <xf numFmtId="0" fontId="12" fillId="0" borderId="0" xfId="0" applyFont="1" applyAlignment="1">
      <alignment wrapText="1"/>
    </xf>
    <xf numFmtId="0" fontId="12" fillId="0" borderId="0" xfId="0" applyFont="1" applyAlignment="1">
      <alignment/>
    </xf>
    <xf numFmtId="0" fontId="13" fillId="0" borderId="11" xfId="0" applyFont="1" applyBorder="1" applyAlignment="1">
      <alignment vertical="top" wrapText="1"/>
    </xf>
    <xf numFmtId="0" fontId="12" fillId="0" borderId="11" xfId="0" applyFont="1" applyBorder="1" applyAlignment="1">
      <alignment vertical="top" wrapText="1"/>
    </xf>
    <xf numFmtId="0" fontId="13" fillId="0" borderId="11" xfId="0" applyFont="1" applyBorder="1" applyAlignment="1">
      <alignment horizontal="justify" vertical="top" wrapText="1"/>
    </xf>
    <xf numFmtId="3" fontId="16" fillId="0" borderId="11" xfId="0" applyNumberFormat="1" applyFont="1" applyBorder="1" applyAlignment="1">
      <alignment horizontal="right" vertical="top" wrapText="1"/>
    </xf>
    <xf numFmtId="3" fontId="12" fillId="0" borderId="0" xfId="0" applyNumberFormat="1" applyFont="1" applyAlignment="1">
      <alignment/>
    </xf>
    <xf numFmtId="0" fontId="19" fillId="0" borderId="0" xfId="0" applyFont="1" applyAlignment="1">
      <alignment horizontal="left" indent="15"/>
    </xf>
    <xf numFmtId="3" fontId="13" fillId="0" borderId="11" xfId="0" applyNumberFormat="1"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3" fontId="16" fillId="0" borderId="11" xfId="0" applyNumberFormat="1" applyFont="1" applyBorder="1" applyAlignment="1">
      <alignment horizontal="justify" vertical="top" wrapText="1"/>
    </xf>
    <xf numFmtId="3" fontId="18" fillId="0" borderId="11" xfId="0" applyNumberFormat="1" applyFont="1" applyBorder="1" applyAlignment="1">
      <alignment horizontal="justify" vertical="top" wrapText="1"/>
    </xf>
    <xf numFmtId="3" fontId="18" fillId="0" borderId="14" xfId="0" applyNumberFormat="1" applyFont="1" applyBorder="1" applyAlignment="1">
      <alignment horizontal="justify" vertical="top" wrapText="1"/>
    </xf>
    <xf numFmtId="3" fontId="16" fillId="0" borderId="14" xfId="0" applyNumberFormat="1" applyFont="1" applyBorder="1" applyAlignment="1">
      <alignment horizontal="right" vertical="top" wrapText="1"/>
    </xf>
    <xf numFmtId="0" fontId="12" fillId="0" borderId="0" xfId="0" applyFont="1" applyBorder="1" applyAlignment="1">
      <alignment horizontal="left" vertical="center"/>
    </xf>
    <xf numFmtId="0" fontId="12" fillId="0" borderId="0" xfId="0" applyFont="1" applyAlignment="1">
      <alignment horizontal="justify" wrapText="1"/>
    </xf>
    <xf numFmtId="0" fontId="12" fillId="0" borderId="0" xfId="0" applyFont="1" applyAlignment="1">
      <alignment horizontal="left" vertical="center"/>
    </xf>
    <xf numFmtId="0" fontId="11" fillId="0" borderId="0" xfId="80">
      <alignment/>
      <protection/>
    </xf>
    <xf numFmtId="0" fontId="11" fillId="0" borderId="15" xfId="80" applyBorder="1" applyAlignment="1">
      <alignment horizontal="center"/>
      <protection/>
    </xf>
    <xf numFmtId="0" fontId="11" fillId="0" borderId="12" xfId="80" applyBorder="1" applyAlignment="1">
      <alignment horizontal="center"/>
      <protection/>
    </xf>
    <xf numFmtId="0" fontId="11" fillId="0" borderId="16" xfId="80" applyBorder="1" applyAlignment="1">
      <alignment horizontal="center"/>
      <protection/>
    </xf>
    <xf numFmtId="0" fontId="11" fillId="0" borderId="0" xfId="80" applyFont="1" applyAlignment="1">
      <alignment horizontal="right"/>
      <protection/>
    </xf>
    <xf numFmtId="0" fontId="11" fillId="0" borderId="17" xfId="80" applyBorder="1" applyAlignment="1">
      <alignment horizontal="center"/>
      <protection/>
    </xf>
    <xf numFmtId="0" fontId="11" fillId="0" borderId="15" xfId="80" applyFont="1" applyBorder="1" applyAlignment="1">
      <alignment horizontal="center"/>
      <protection/>
    </xf>
    <xf numFmtId="0" fontId="12" fillId="0" borderId="0" xfId="66" applyFont="1">
      <alignment/>
      <protection/>
    </xf>
    <xf numFmtId="0" fontId="0" fillId="0" borderId="0" xfId="66">
      <alignment/>
      <protection/>
    </xf>
    <xf numFmtId="0" fontId="2" fillId="0" borderId="0" xfId="66" applyFont="1" applyAlignment="1">
      <alignment horizontal="right"/>
      <protection/>
    </xf>
    <xf numFmtId="0" fontId="12" fillId="0" borderId="11" xfId="66" applyFont="1" applyBorder="1">
      <alignment/>
      <protection/>
    </xf>
    <xf numFmtId="3" fontId="24" fillId="0" borderId="11" xfId="67" applyNumberFormat="1" applyFont="1" applyBorder="1" applyAlignment="1">
      <alignment horizontal="right" vertical="top" wrapText="1"/>
      <protection/>
    </xf>
    <xf numFmtId="3" fontId="24" fillId="0" borderId="18" xfId="67" applyNumberFormat="1" applyFont="1" applyBorder="1" applyAlignment="1">
      <alignment horizontal="right" vertical="top" wrapText="1"/>
      <protection/>
    </xf>
    <xf numFmtId="0" fontId="12" fillId="0" borderId="0" xfId="66" applyFont="1" applyAlignment="1">
      <alignment vertical="center"/>
      <protection/>
    </xf>
    <xf numFmtId="0" fontId="13" fillId="0" borderId="11" xfId="0" applyFont="1" applyBorder="1" applyAlignment="1">
      <alignment horizontal="center" vertical="top" wrapText="1"/>
    </xf>
    <xf numFmtId="3" fontId="12" fillId="0" borderId="11" xfId="0" applyNumberFormat="1" applyFont="1" applyBorder="1" applyAlignment="1">
      <alignment/>
    </xf>
    <xf numFmtId="0" fontId="26" fillId="0" borderId="0" xfId="75" applyFont="1" applyAlignment="1">
      <alignment horizontal="right"/>
      <protection/>
    </xf>
    <xf numFmtId="0" fontId="26" fillId="0" borderId="0" xfId="75" applyFont="1">
      <alignment/>
      <protection/>
    </xf>
    <xf numFmtId="49" fontId="26" fillId="6" borderId="19" xfId="75" applyNumberFormat="1" applyFont="1" applyFill="1" applyBorder="1" applyAlignment="1">
      <alignment horizontal="center" wrapText="1"/>
      <protection/>
    </xf>
    <xf numFmtId="0" fontId="26" fillId="6" borderId="20" xfId="75" applyFont="1" applyFill="1" applyBorder="1" applyAlignment="1">
      <alignment horizontal="center"/>
      <protection/>
    </xf>
    <xf numFmtId="3" fontId="26" fillId="6" borderId="21" xfId="75" applyNumberFormat="1" applyFont="1" applyFill="1" applyBorder="1" applyAlignment="1">
      <alignment horizontal="center"/>
      <protection/>
    </xf>
    <xf numFmtId="0" fontId="27" fillId="0" borderId="0" xfId="75" applyFont="1">
      <alignment/>
      <protection/>
    </xf>
    <xf numFmtId="49" fontId="27" fillId="0" borderId="22" xfId="75" applyNumberFormat="1" applyFont="1" applyBorder="1" applyAlignment="1">
      <alignment wrapText="1"/>
      <protection/>
    </xf>
    <xf numFmtId="49" fontId="27" fillId="0" borderId="11" xfId="75" applyNumberFormat="1" applyFont="1" applyBorder="1">
      <alignment/>
      <protection/>
    </xf>
    <xf numFmtId="3" fontId="27" fillId="0" borderId="23" xfId="75" applyNumberFormat="1" applyFont="1" applyBorder="1">
      <alignment/>
      <protection/>
    </xf>
    <xf numFmtId="0" fontId="26" fillId="33" borderId="22" xfId="75" applyFont="1" applyFill="1" applyBorder="1" applyAlignment="1">
      <alignment wrapText="1"/>
      <protection/>
    </xf>
    <xf numFmtId="0" fontId="27" fillId="33" borderId="11" xfId="75" applyFont="1" applyFill="1" applyBorder="1">
      <alignment/>
      <protection/>
    </xf>
    <xf numFmtId="3" fontId="26" fillId="33" borderId="23" xfId="75" applyNumberFormat="1" applyFont="1" applyFill="1" applyBorder="1">
      <alignment/>
      <protection/>
    </xf>
    <xf numFmtId="0" fontId="26" fillId="33" borderId="11" xfId="75" applyFont="1" applyFill="1" applyBorder="1">
      <alignment/>
      <protection/>
    </xf>
    <xf numFmtId="49" fontId="26" fillId="33" borderId="22" xfId="75" applyNumberFormat="1" applyFont="1" applyFill="1" applyBorder="1" applyAlignment="1">
      <alignment wrapText="1"/>
      <protection/>
    </xf>
    <xf numFmtId="49" fontId="26" fillId="33" borderId="11" xfId="75" applyNumberFormat="1" applyFont="1" applyFill="1" applyBorder="1">
      <alignment/>
      <protection/>
    </xf>
    <xf numFmtId="49" fontId="27" fillId="34" borderId="22" xfId="75" applyNumberFormat="1" applyFont="1" applyFill="1" applyBorder="1" applyAlignment="1">
      <alignment wrapText="1"/>
      <protection/>
    </xf>
    <xf numFmtId="49" fontId="27" fillId="0" borderId="22" xfId="75" applyNumberFormat="1" applyFont="1" applyBorder="1">
      <alignment/>
      <protection/>
    </xf>
    <xf numFmtId="3" fontId="26" fillId="35" borderId="24" xfId="75" applyNumberFormat="1" applyFont="1" applyFill="1" applyBorder="1">
      <alignment/>
      <protection/>
    </xf>
    <xf numFmtId="49" fontId="27" fillId="34" borderId="0" xfId="75" applyNumberFormat="1" applyFont="1" applyFill="1" applyBorder="1" applyAlignment="1">
      <alignment wrapText="1"/>
      <protection/>
    </xf>
    <xf numFmtId="49" fontId="27" fillId="0" borderId="0" xfId="75" applyNumberFormat="1" applyFont="1" applyBorder="1">
      <alignment/>
      <protection/>
    </xf>
    <xf numFmtId="3" fontId="27" fillId="0" borderId="0" xfId="75" applyNumberFormat="1" applyFont="1" applyBorder="1">
      <alignment/>
      <protection/>
    </xf>
    <xf numFmtId="49" fontId="26" fillId="6" borderId="25" xfId="75" applyNumberFormat="1" applyFont="1" applyFill="1" applyBorder="1" applyAlignment="1">
      <alignment horizontal="center" wrapText="1"/>
      <protection/>
    </xf>
    <xf numFmtId="0" fontId="26" fillId="6" borderId="26" xfId="75" applyFont="1" applyFill="1" applyBorder="1" applyAlignment="1">
      <alignment horizontal="center"/>
      <protection/>
    </xf>
    <xf numFmtId="3" fontId="26" fillId="6" borderId="27" xfId="75" applyNumberFormat="1" applyFont="1" applyFill="1" applyBorder="1" applyAlignment="1">
      <alignment horizontal="center"/>
      <protection/>
    </xf>
    <xf numFmtId="49" fontId="27" fillId="34" borderId="28" xfId="75" applyNumberFormat="1" applyFont="1" applyFill="1" applyBorder="1" applyAlignment="1">
      <alignment wrapText="1"/>
      <protection/>
    </xf>
    <xf numFmtId="3" fontId="27" fillId="0" borderId="29" xfId="75" applyNumberFormat="1" applyFont="1" applyBorder="1">
      <alignment/>
      <protection/>
    </xf>
    <xf numFmtId="49" fontId="26" fillId="33" borderId="30" xfId="75" applyNumberFormat="1" applyFont="1" applyFill="1" applyBorder="1" applyAlignment="1">
      <alignment wrapText="1"/>
      <protection/>
    </xf>
    <xf numFmtId="49" fontId="26" fillId="33" borderId="31" xfId="75" applyNumberFormat="1" applyFont="1" applyFill="1" applyBorder="1">
      <alignment/>
      <protection/>
    </xf>
    <xf numFmtId="3" fontId="26" fillId="33" borderId="32" xfId="75" applyNumberFormat="1" applyFont="1" applyFill="1" applyBorder="1">
      <alignment/>
      <protection/>
    </xf>
    <xf numFmtId="49" fontId="26" fillId="6" borderId="25" xfId="75" applyNumberFormat="1" applyFont="1" applyFill="1" applyBorder="1" applyAlignment="1">
      <alignment wrapText="1"/>
      <protection/>
    </xf>
    <xf numFmtId="49" fontId="27" fillId="0" borderId="28" xfId="75" applyNumberFormat="1" applyFont="1" applyBorder="1" applyAlignment="1">
      <alignment wrapText="1"/>
      <protection/>
    </xf>
    <xf numFmtId="49" fontId="26" fillId="6" borderId="25" xfId="75" applyNumberFormat="1" applyFont="1" applyFill="1" applyBorder="1">
      <alignment/>
      <protection/>
    </xf>
    <xf numFmtId="0" fontId="27" fillId="0" borderId="33" xfId="75" applyFont="1" applyBorder="1" applyAlignment="1">
      <alignment wrapText="1"/>
      <protection/>
    </xf>
    <xf numFmtId="0" fontId="27" fillId="0" borderId="33" xfId="75" applyFont="1" applyBorder="1">
      <alignment/>
      <protection/>
    </xf>
    <xf numFmtId="3" fontId="27" fillId="0" borderId="33" xfId="75" applyNumberFormat="1" applyFont="1" applyBorder="1">
      <alignment/>
      <protection/>
    </xf>
    <xf numFmtId="49" fontId="26" fillId="0" borderId="25" xfId="75" applyNumberFormat="1" applyFont="1" applyBorder="1">
      <alignment/>
      <protection/>
    </xf>
    <xf numFmtId="0" fontId="26" fillId="0" borderId="26" xfId="75" applyFont="1" applyBorder="1" applyAlignment="1">
      <alignment horizontal="center"/>
      <protection/>
    </xf>
    <xf numFmtId="3" fontId="26" fillId="0" borderId="27" xfId="75" applyNumberFormat="1" applyFont="1" applyBorder="1" applyAlignment="1">
      <alignment horizontal="center"/>
      <protection/>
    </xf>
    <xf numFmtId="49" fontId="26" fillId="34" borderId="34" xfId="75" applyNumberFormat="1" applyFont="1" applyFill="1" applyBorder="1" applyAlignment="1">
      <alignment wrapText="1"/>
      <protection/>
    </xf>
    <xf numFmtId="49" fontId="26" fillId="34" borderId="35" xfId="75" applyNumberFormat="1" applyFont="1" applyFill="1" applyBorder="1">
      <alignment/>
      <protection/>
    </xf>
    <xf numFmtId="3" fontId="26" fillId="34" borderId="36" xfId="75" applyNumberFormat="1" applyFont="1" applyFill="1" applyBorder="1">
      <alignment/>
      <protection/>
    </xf>
    <xf numFmtId="49" fontId="26" fillId="0" borderId="25" xfId="75" applyNumberFormat="1" applyFont="1" applyBorder="1" applyAlignment="1">
      <alignment wrapText="1"/>
      <protection/>
    </xf>
    <xf numFmtId="49" fontId="26" fillId="0" borderId="37" xfId="75" applyNumberFormat="1" applyFont="1" applyBorder="1" applyAlignment="1">
      <alignment horizontal="center"/>
      <protection/>
    </xf>
    <xf numFmtId="0" fontId="26" fillId="0" borderId="38" xfId="75" applyFont="1" applyBorder="1" applyAlignment="1">
      <alignment horizontal="center"/>
      <protection/>
    </xf>
    <xf numFmtId="3" fontId="26" fillId="0" borderId="39" xfId="75" applyNumberFormat="1" applyFont="1" applyBorder="1" applyAlignment="1">
      <alignment horizontal="center"/>
      <protection/>
    </xf>
    <xf numFmtId="49" fontId="27" fillId="0" borderId="40" xfId="75" applyNumberFormat="1" applyFont="1" applyBorder="1" applyAlignment="1">
      <alignment wrapText="1"/>
      <protection/>
    </xf>
    <xf numFmtId="49" fontId="27" fillId="0" borderId="13" xfId="75" applyNumberFormat="1" applyFont="1" applyBorder="1">
      <alignment/>
      <protection/>
    </xf>
    <xf numFmtId="3" fontId="27" fillId="0" borderId="41" xfId="75" applyNumberFormat="1" applyFont="1" applyBorder="1">
      <alignment/>
      <protection/>
    </xf>
    <xf numFmtId="0" fontId="27" fillId="34" borderId="0" xfId="75" applyFont="1" applyFill="1">
      <alignment/>
      <protection/>
    </xf>
    <xf numFmtId="0" fontId="26" fillId="34" borderId="0" xfId="75" applyFont="1" applyFill="1">
      <alignment/>
      <protection/>
    </xf>
    <xf numFmtId="49" fontId="26" fillId="33" borderId="28" xfId="75" applyNumberFormat="1" applyFont="1" applyFill="1" applyBorder="1" applyAlignment="1">
      <alignment wrapText="1"/>
      <protection/>
    </xf>
    <xf numFmtId="3" fontId="26" fillId="33" borderId="29" xfId="75" applyNumberFormat="1" applyFont="1" applyFill="1" applyBorder="1">
      <alignment/>
      <protection/>
    </xf>
    <xf numFmtId="49" fontId="26" fillId="7" borderId="30" xfId="75" applyNumberFormat="1" applyFont="1" applyFill="1" applyBorder="1" applyAlignment="1">
      <alignment wrapText="1"/>
      <protection/>
    </xf>
    <xf numFmtId="49" fontId="26" fillId="7" borderId="31" xfId="75" applyNumberFormat="1" applyFont="1" applyFill="1" applyBorder="1">
      <alignment/>
      <protection/>
    </xf>
    <xf numFmtId="3" fontId="26" fillId="7" borderId="32" xfId="75" applyNumberFormat="1" applyFont="1" applyFill="1" applyBorder="1">
      <alignment/>
      <protection/>
    </xf>
    <xf numFmtId="49" fontId="27" fillId="34" borderId="0" xfId="75" applyNumberFormat="1" applyFont="1" applyFill="1" applyBorder="1">
      <alignment/>
      <protection/>
    </xf>
    <xf numFmtId="3" fontId="27" fillId="34" borderId="0" xfId="75" applyNumberFormat="1" applyFont="1" applyFill="1" applyBorder="1">
      <alignment/>
      <protection/>
    </xf>
    <xf numFmtId="49" fontId="26" fillId="2" borderId="25" xfId="75" applyNumberFormat="1" applyFont="1" applyFill="1" applyBorder="1" applyAlignment="1">
      <alignment horizontal="center" wrapText="1"/>
      <protection/>
    </xf>
    <xf numFmtId="0" fontId="26" fillId="2" borderId="26" xfId="75" applyFont="1" applyFill="1" applyBorder="1" applyAlignment="1">
      <alignment horizontal="center"/>
      <protection/>
    </xf>
    <xf numFmtId="3" fontId="26" fillId="2" borderId="27" xfId="75" applyNumberFormat="1" applyFont="1" applyFill="1" applyBorder="1" applyAlignment="1">
      <alignment horizontal="center"/>
      <protection/>
    </xf>
    <xf numFmtId="0" fontId="26" fillId="33" borderId="28" xfId="75" applyFont="1" applyFill="1" applyBorder="1" applyAlignment="1">
      <alignment wrapText="1"/>
      <protection/>
    </xf>
    <xf numFmtId="0" fontId="26" fillId="7" borderId="42" xfId="75" applyFont="1" applyFill="1" applyBorder="1" applyAlignment="1">
      <alignment wrapText="1"/>
      <protection/>
    </xf>
    <xf numFmtId="0" fontId="26" fillId="7" borderId="43" xfId="75" applyFont="1" applyFill="1" applyBorder="1" applyAlignment="1">
      <alignment wrapText="1"/>
      <protection/>
    </xf>
    <xf numFmtId="0" fontId="26" fillId="33" borderId="44" xfId="75" applyFont="1" applyFill="1" applyBorder="1" applyAlignment="1">
      <alignment wrapText="1"/>
      <protection/>
    </xf>
    <xf numFmtId="0" fontId="26" fillId="33" borderId="12" xfId="75" applyFont="1" applyFill="1" applyBorder="1">
      <alignment/>
      <protection/>
    </xf>
    <xf numFmtId="3" fontId="26" fillId="33" borderId="45" xfId="75" applyNumberFormat="1" applyFont="1" applyFill="1" applyBorder="1">
      <alignment/>
      <protection/>
    </xf>
    <xf numFmtId="49" fontId="26" fillId="7" borderId="30" xfId="75" applyNumberFormat="1" applyFont="1" applyFill="1" applyBorder="1" applyAlignment="1">
      <alignment horizontal="left" wrapText="1"/>
      <protection/>
    </xf>
    <xf numFmtId="0" fontId="26" fillId="7" borderId="31" xfId="75" applyFont="1" applyFill="1" applyBorder="1">
      <alignment/>
      <protection/>
    </xf>
    <xf numFmtId="49" fontId="26" fillId="0" borderId="25" xfId="75" applyNumberFormat="1" applyFont="1" applyBorder="1" applyAlignment="1">
      <alignment horizontal="left" wrapText="1"/>
      <protection/>
    </xf>
    <xf numFmtId="49" fontId="27" fillId="0" borderId="40" xfId="75" applyNumberFormat="1" applyFont="1" applyBorder="1" applyAlignment="1">
      <alignment horizontal="left" wrapText="1"/>
      <protection/>
    </xf>
    <xf numFmtId="0" fontId="26" fillId="33" borderId="30" xfId="75" applyFont="1" applyFill="1" applyBorder="1" applyAlignment="1">
      <alignment wrapText="1"/>
      <protection/>
    </xf>
    <xf numFmtId="0" fontId="26" fillId="33" borderId="31" xfId="75" applyFont="1" applyFill="1" applyBorder="1">
      <alignment/>
      <protection/>
    </xf>
    <xf numFmtId="49" fontId="26" fillId="0" borderId="25" xfId="75" applyNumberFormat="1" applyFont="1" applyBorder="1" applyAlignment="1">
      <alignment horizontal="center" wrapText="1"/>
      <protection/>
    </xf>
    <xf numFmtId="0" fontId="27" fillId="0" borderId="22" xfId="75" applyFont="1" applyBorder="1" applyAlignment="1">
      <alignment wrapText="1"/>
      <protection/>
    </xf>
    <xf numFmtId="0" fontId="27" fillId="0" borderId="0" xfId="75" applyFont="1" applyAlignment="1">
      <alignment wrapText="1"/>
      <protection/>
    </xf>
    <xf numFmtId="3" fontId="27" fillId="0" borderId="0" xfId="75" applyNumberFormat="1" applyFont="1">
      <alignment/>
      <protection/>
    </xf>
    <xf numFmtId="0" fontId="26" fillId="6" borderId="25" xfId="75" applyFont="1" applyFill="1" applyBorder="1" applyAlignment="1">
      <alignment wrapText="1"/>
      <protection/>
    </xf>
    <xf numFmtId="0" fontId="26" fillId="6" borderId="26" xfId="75" applyFont="1" applyFill="1" applyBorder="1" applyAlignment="1">
      <alignment horizontal="center" wrapText="1"/>
      <protection/>
    </xf>
    <xf numFmtId="0" fontId="86" fillId="0" borderId="0" xfId="75" applyFont="1">
      <alignment/>
      <protection/>
    </xf>
    <xf numFmtId="0" fontId="87" fillId="0" borderId="0" xfId="75" applyFont="1">
      <alignment/>
      <protection/>
    </xf>
    <xf numFmtId="0" fontId="26" fillId="7" borderId="46" xfId="75" applyFont="1" applyFill="1" applyBorder="1" applyAlignment="1">
      <alignment wrapText="1"/>
      <protection/>
    </xf>
    <xf numFmtId="3" fontId="26" fillId="7" borderId="46" xfId="75" applyNumberFormat="1" applyFont="1" applyFill="1" applyBorder="1">
      <alignment/>
      <protection/>
    </xf>
    <xf numFmtId="0" fontId="26" fillId="6" borderId="46" xfId="75" applyFont="1" applyFill="1" applyBorder="1" applyAlignment="1">
      <alignment wrapText="1"/>
      <protection/>
    </xf>
    <xf numFmtId="0" fontId="26" fillId="6" borderId="46" xfId="75" applyFont="1" applyFill="1" applyBorder="1" applyAlignment="1">
      <alignment horizontal="center" wrapText="1"/>
      <protection/>
    </xf>
    <xf numFmtId="3" fontId="26" fillId="6" borderId="46" xfId="75" applyNumberFormat="1" applyFont="1" applyFill="1" applyBorder="1" applyAlignment="1">
      <alignment horizontal="center"/>
      <protection/>
    </xf>
    <xf numFmtId="3" fontId="26" fillId="18" borderId="39" xfId="75" applyNumberFormat="1" applyFont="1" applyFill="1" applyBorder="1">
      <alignment/>
      <protection/>
    </xf>
    <xf numFmtId="3" fontId="28" fillId="0" borderId="0" xfId="75" applyNumberFormat="1" applyFont="1" applyFill="1" applyAlignment="1">
      <alignment vertical="center"/>
      <protection/>
    </xf>
    <xf numFmtId="3" fontId="29" fillId="0" borderId="0" xfId="75" applyNumberFormat="1" applyFont="1" applyFill="1" applyAlignment="1">
      <alignment vertical="center" wrapText="1"/>
      <protection/>
    </xf>
    <xf numFmtId="3" fontId="29" fillId="0" borderId="0" xfId="75" applyNumberFormat="1" applyFont="1" applyFill="1" applyAlignment="1">
      <alignment vertical="center"/>
      <protection/>
    </xf>
    <xf numFmtId="0" fontId="88" fillId="0" borderId="0" xfId="75" applyFont="1" applyAlignment="1">
      <alignment horizontal="right"/>
      <protection/>
    </xf>
    <xf numFmtId="0" fontId="89" fillId="0" borderId="0" xfId="75" applyFont="1" applyAlignment="1">
      <alignment wrapText="1"/>
      <protection/>
    </xf>
    <xf numFmtId="0" fontId="90" fillId="0" borderId="0" xfId="75" applyFont="1" applyAlignment="1">
      <alignment wrapText="1"/>
      <protection/>
    </xf>
    <xf numFmtId="3" fontId="90" fillId="0" borderId="0" xfId="75" applyNumberFormat="1" applyFont="1">
      <alignment/>
      <protection/>
    </xf>
    <xf numFmtId="0" fontId="90" fillId="0" borderId="0" xfId="75" applyFont="1">
      <alignment/>
      <protection/>
    </xf>
    <xf numFmtId="3" fontId="28" fillId="0" borderId="0" xfId="75" applyNumberFormat="1" applyFont="1" applyFill="1" applyAlignment="1">
      <alignment horizontal="center" vertical="center" wrapText="1"/>
      <protection/>
    </xf>
    <xf numFmtId="3" fontId="29" fillId="0" borderId="0" xfId="75" applyNumberFormat="1" applyFont="1" applyFill="1" applyAlignment="1">
      <alignment horizontal="center" vertical="center" wrapText="1"/>
      <protection/>
    </xf>
    <xf numFmtId="3" fontId="28" fillId="36" borderId="12" xfId="75" applyNumberFormat="1" applyFont="1" applyFill="1" applyBorder="1" applyAlignment="1">
      <alignment horizontal="center" vertical="center" wrapText="1"/>
      <protection/>
    </xf>
    <xf numFmtId="3" fontId="29" fillId="36" borderId="12" xfId="75" applyNumberFormat="1" applyFont="1" applyFill="1" applyBorder="1" applyAlignment="1">
      <alignment horizontal="center" vertical="center" wrapText="1"/>
      <protection/>
    </xf>
    <xf numFmtId="3" fontId="29" fillId="36" borderId="11" xfId="75" applyNumberFormat="1" applyFont="1" applyFill="1" applyBorder="1" applyAlignment="1">
      <alignment horizontal="center" vertical="center" wrapText="1"/>
      <protection/>
    </xf>
    <xf numFmtId="3" fontId="29" fillId="0" borderId="11" xfId="75" applyNumberFormat="1" applyFont="1" applyFill="1" applyBorder="1" applyAlignment="1">
      <alignment vertical="center" wrapText="1"/>
      <protection/>
    </xf>
    <xf numFmtId="3" fontId="29" fillId="0" borderId="11" xfId="75" applyNumberFormat="1" applyFont="1" applyFill="1" applyBorder="1" applyAlignment="1">
      <alignment vertical="center"/>
      <protection/>
    </xf>
    <xf numFmtId="3" fontId="28" fillId="33" borderId="11" xfId="75" applyNumberFormat="1" applyFont="1" applyFill="1" applyBorder="1" applyAlignment="1">
      <alignment horizontal="center" vertical="center" wrapText="1"/>
      <protection/>
    </xf>
    <xf numFmtId="3" fontId="28" fillId="33" borderId="11" xfId="75" applyNumberFormat="1" applyFont="1" applyFill="1" applyBorder="1" applyAlignment="1">
      <alignment vertical="center" wrapText="1"/>
      <protection/>
    </xf>
    <xf numFmtId="3" fontId="28" fillId="33" borderId="11" xfId="75" applyNumberFormat="1" applyFont="1" applyFill="1" applyBorder="1" applyAlignment="1">
      <alignment vertical="center"/>
      <protection/>
    </xf>
    <xf numFmtId="49" fontId="91" fillId="0" borderId="11" xfId="79" applyNumberFormat="1" applyFont="1" applyBorder="1" applyAlignment="1">
      <alignment wrapText="1"/>
      <protection/>
    </xf>
    <xf numFmtId="3" fontId="29" fillId="0" borderId="11" xfId="75" applyNumberFormat="1" applyFont="1" applyFill="1" applyBorder="1" applyAlignment="1">
      <alignment horizontal="left" vertical="center" wrapText="1"/>
      <protection/>
    </xf>
    <xf numFmtId="3" fontId="28" fillId="3" borderId="11" xfId="75" applyNumberFormat="1" applyFont="1" applyFill="1" applyBorder="1" applyAlignment="1">
      <alignment vertical="center"/>
      <protection/>
    </xf>
    <xf numFmtId="3" fontId="28" fillId="36" borderId="11" xfId="75" applyNumberFormat="1" applyFont="1" applyFill="1" applyBorder="1" applyAlignment="1">
      <alignment horizontal="center" vertical="center" wrapText="1"/>
      <protection/>
    </xf>
    <xf numFmtId="3" fontId="28" fillId="36" borderId="11" xfId="75" applyNumberFormat="1" applyFont="1" applyFill="1" applyBorder="1" applyAlignment="1">
      <alignment horizontal="center" vertical="center"/>
      <protection/>
    </xf>
    <xf numFmtId="3" fontId="29" fillId="0" borderId="11" xfId="75" applyNumberFormat="1" applyFont="1" applyFill="1" applyBorder="1" applyAlignment="1">
      <alignment horizontal="right" vertical="center" wrapText="1"/>
      <protection/>
    </xf>
    <xf numFmtId="3" fontId="28" fillId="33" borderId="11" xfId="75" applyNumberFormat="1" applyFont="1" applyFill="1" applyBorder="1" applyAlignment="1">
      <alignment horizontal="left" vertical="center" wrapText="1"/>
      <protection/>
    </xf>
    <xf numFmtId="3" fontId="28" fillId="33" borderId="11" xfId="75" applyNumberFormat="1" applyFont="1" applyFill="1" applyBorder="1" applyAlignment="1">
      <alignment horizontal="right" vertical="center" wrapText="1"/>
      <protection/>
    </xf>
    <xf numFmtId="3" fontId="29" fillId="33" borderId="11" xfId="75" applyNumberFormat="1" applyFont="1" applyFill="1" applyBorder="1" applyAlignment="1">
      <alignment horizontal="left" vertical="center" wrapText="1"/>
      <protection/>
    </xf>
    <xf numFmtId="3" fontId="29" fillId="33" borderId="11" xfId="75" applyNumberFormat="1" applyFont="1" applyFill="1" applyBorder="1" applyAlignment="1">
      <alignment vertical="center" wrapText="1"/>
      <protection/>
    </xf>
    <xf numFmtId="1" fontId="28" fillId="36" borderId="11" xfId="75" applyNumberFormat="1" applyFont="1" applyFill="1" applyBorder="1" applyAlignment="1">
      <alignment horizontal="center" vertical="center" wrapText="1"/>
      <protection/>
    </xf>
    <xf numFmtId="3" fontId="29" fillId="0" borderId="11" xfId="75" applyNumberFormat="1" applyFont="1" applyFill="1" applyBorder="1" applyAlignment="1">
      <alignment horizontal="right" vertical="center"/>
      <protection/>
    </xf>
    <xf numFmtId="3" fontId="92" fillId="0" borderId="0" xfId="75" applyNumberFormat="1" applyFont="1" applyFill="1" applyAlignment="1">
      <alignment vertical="center"/>
      <protection/>
    </xf>
    <xf numFmtId="3" fontId="93" fillId="0" borderId="0" xfId="75" applyNumberFormat="1" applyFont="1" applyFill="1" applyAlignment="1">
      <alignment vertical="center"/>
      <protection/>
    </xf>
    <xf numFmtId="3" fontId="29" fillId="33" borderId="47" xfId="75" applyNumberFormat="1" applyFont="1" applyFill="1" applyBorder="1" applyAlignment="1">
      <alignment vertical="center" wrapText="1"/>
      <protection/>
    </xf>
    <xf numFmtId="3" fontId="28" fillId="18" borderId="11" xfId="75" applyNumberFormat="1" applyFont="1" applyFill="1" applyBorder="1" applyAlignment="1">
      <alignment vertical="center"/>
      <protection/>
    </xf>
    <xf numFmtId="0" fontId="26" fillId="0" borderId="0" xfId="75" applyFont="1" applyAlignment="1">
      <alignment horizontal="center" wrapText="1"/>
      <protection/>
    </xf>
    <xf numFmtId="0" fontId="18" fillId="0" borderId="0" xfId="75" applyFont="1">
      <alignment/>
      <protection/>
    </xf>
    <xf numFmtId="0" fontId="26" fillId="0" borderId="0" xfId="75" applyFont="1" applyBorder="1" applyAlignment="1">
      <alignment horizontal="right" wrapText="1"/>
      <protection/>
    </xf>
    <xf numFmtId="0" fontId="32" fillId="0" borderId="0" xfId="75" applyFont="1" applyBorder="1" applyAlignment="1">
      <alignment horizontal="right"/>
      <protection/>
    </xf>
    <xf numFmtId="49" fontId="33" fillId="0" borderId="22" xfId="75" applyNumberFormat="1" applyFont="1" applyBorder="1" applyAlignment="1">
      <alignment horizontal="center" wrapText="1"/>
      <protection/>
    </xf>
    <xf numFmtId="0" fontId="26" fillId="0" borderId="11" xfId="75" applyFont="1" applyBorder="1" applyAlignment="1">
      <alignment horizontal="center" wrapText="1"/>
      <protection/>
    </xf>
    <xf numFmtId="3" fontId="26" fillId="0" borderId="23" xfId="75" applyNumberFormat="1" applyFont="1" applyBorder="1" applyAlignment="1">
      <alignment horizontal="center"/>
      <protection/>
    </xf>
    <xf numFmtId="49" fontId="27" fillId="0" borderId="22" xfId="75" applyNumberFormat="1" applyFont="1" applyBorder="1" applyAlignment="1">
      <alignment horizontal="left" wrapText="1"/>
      <protection/>
    </xf>
    <xf numFmtId="49" fontId="27" fillId="0" borderId="11" xfId="75" applyNumberFormat="1" applyFont="1" applyBorder="1" applyAlignment="1">
      <alignment wrapText="1"/>
      <protection/>
    </xf>
    <xf numFmtId="49" fontId="26" fillId="33" borderId="22" xfId="75" applyNumberFormat="1" applyFont="1" applyFill="1" applyBorder="1" applyAlignment="1">
      <alignment horizontal="center" wrapText="1"/>
      <protection/>
    </xf>
    <xf numFmtId="0" fontId="26" fillId="33" borderId="11" xfId="75" applyFont="1" applyFill="1" applyBorder="1" applyAlignment="1">
      <alignment wrapText="1"/>
      <protection/>
    </xf>
    <xf numFmtId="0" fontId="26" fillId="33" borderId="22" xfId="75" applyFont="1" applyFill="1" applyBorder="1" applyAlignment="1">
      <alignment horizontal="center" wrapText="1"/>
      <protection/>
    </xf>
    <xf numFmtId="0" fontId="27" fillId="33" borderId="11" xfId="75" applyFont="1" applyFill="1" applyBorder="1" applyAlignment="1">
      <alignment wrapText="1"/>
      <protection/>
    </xf>
    <xf numFmtId="3" fontId="22" fillId="35" borderId="24" xfId="75" applyNumberFormat="1" applyFont="1" applyFill="1" applyBorder="1">
      <alignment/>
      <protection/>
    </xf>
    <xf numFmtId="0" fontId="34" fillId="0" borderId="0" xfId="75" applyFont="1">
      <alignment/>
      <protection/>
    </xf>
    <xf numFmtId="0" fontId="26" fillId="34" borderId="0" xfId="75" applyFont="1" applyFill="1" applyBorder="1" applyAlignment="1">
      <alignment horizontal="center" wrapText="1"/>
      <protection/>
    </xf>
    <xf numFmtId="0" fontId="27" fillId="34" borderId="0" xfId="75" applyFont="1" applyFill="1" applyBorder="1" applyAlignment="1">
      <alignment wrapText="1"/>
      <protection/>
    </xf>
    <xf numFmtId="3" fontId="26" fillId="34" borderId="0" xfId="75" applyNumberFormat="1" applyFont="1" applyFill="1" applyBorder="1">
      <alignment/>
      <protection/>
    </xf>
    <xf numFmtId="49" fontId="33" fillId="0" borderId="19" xfId="75" applyNumberFormat="1" applyFont="1" applyBorder="1" applyAlignment="1">
      <alignment horizontal="center" wrapText="1"/>
      <protection/>
    </xf>
    <xf numFmtId="0" fontId="33" fillId="0" borderId="20" xfId="75" applyFont="1" applyBorder="1" applyAlignment="1">
      <alignment horizontal="center" wrapText="1"/>
      <protection/>
    </xf>
    <xf numFmtId="3" fontId="33" fillId="0" borderId="21" xfId="75" applyNumberFormat="1" applyFont="1" applyBorder="1" applyAlignment="1">
      <alignment horizontal="center"/>
      <protection/>
    </xf>
    <xf numFmtId="0" fontId="27" fillId="0" borderId="22" xfId="75" applyFont="1" applyBorder="1" applyAlignment="1">
      <alignment horizontal="left" wrapText="1"/>
      <protection/>
    </xf>
    <xf numFmtId="3" fontId="18" fillId="35" borderId="24" xfId="75" applyNumberFormat="1" applyFont="1" applyFill="1" applyBorder="1">
      <alignment/>
      <protection/>
    </xf>
    <xf numFmtId="49" fontId="35" fillId="0" borderId="22" xfId="75" applyNumberFormat="1" applyFont="1" applyBorder="1" applyAlignment="1">
      <alignment wrapText="1"/>
      <protection/>
    </xf>
    <xf numFmtId="3" fontId="27" fillId="33" borderId="23" xfId="75" applyNumberFormat="1" applyFont="1" applyFill="1" applyBorder="1">
      <alignment/>
      <protection/>
    </xf>
    <xf numFmtId="0" fontId="18" fillId="37" borderId="0" xfId="75" applyFont="1" applyFill="1">
      <alignment/>
      <protection/>
    </xf>
    <xf numFmtId="0" fontId="27" fillId="37" borderId="0" xfId="75" applyFont="1" applyFill="1">
      <alignment/>
      <protection/>
    </xf>
    <xf numFmtId="49" fontId="27" fillId="33" borderId="11" xfId="75" applyNumberFormat="1" applyFont="1" applyFill="1" applyBorder="1" applyAlignment="1">
      <alignment wrapText="1"/>
      <protection/>
    </xf>
    <xf numFmtId="49" fontId="33" fillId="0" borderId="19" xfId="75" applyNumberFormat="1" applyFont="1" applyBorder="1" applyAlignment="1">
      <alignment wrapText="1"/>
      <protection/>
    </xf>
    <xf numFmtId="0" fontId="33" fillId="0" borderId="0" xfId="75" applyFont="1">
      <alignment/>
      <protection/>
    </xf>
    <xf numFmtId="3" fontId="18" fillId="35" borderId="23" xfId="75" applyNumberFormat="1" applyFont="1" applyFill="1" applyBorder="1">
      <alignment/>
      <protection/>
    </xf>
    <xf numFmtId="0" fontId="18" fillId="34" borderId="0" xfId="75" applyFont="1" applyFill="1">
      <alignment/>
      <protection/>
    </xf>
    <xf numFmtId="3" fontId="18" fillId="38" borderId="24" xfId="75" applyNumberFormat="1" applyFont="1" applyFill="1" applyBorder="1">
      <alignment/>
      <protection/>
    </xf>
    <xf numFmtId="3" fontId="36" fillId="0" borderId="0" xfId="75" applyNumberFormat="1" applyFont="1" applyFill="1" applyAlignment="1">
      <alignment vertical="center"/>
      <protection/>
    </xf>
    <xf numFmtId="3" fontId="37" fillId="0" borderId="0" xfId="75" applyNumberFormat="1" applyFont="1" applyFill="1" applyAlignment="1">
      <alignment vertical="center"/>
      <protection/>
    </xf>
    <xf numFmtId="3" fontId="36" fillId="0" borderId="11" xfId="75" applyNumberFormat="1" applyFont="1" applyFill="1" applyBorder="1" applyAlignment="1">
      <alignment horizontal="center" vertical="center" wrapText="1"/>
      <protection/>
    </xf>
    <xf numFmtId="3" fontId="36" fillId="0" borderId="11" xfId="75" applyNumberFormat="1" applyFont="1" applyFill="1" applyBorder="1" applyAlignment="1">
      <alignment horizontal="center" vertical="center"/>
      <protection/>
    </xf>
    <xf numFmtId="3" fontId="37" fillId="0" borderId="11" xfId="75" applyNumberFormat="1" applyFont="1" applyFill="1" applyBorder="1" applyAlignment="1">
      <alignment horizontal="left" vertical="center" wrapText="1"/>
      <protection/>
    </xf>
    <xf numFmtId="3" fontId="37" fillId="0" borderId="11" xfId="75" applyNumberFormat="1" applyFont="1" applyFill="1" applyBorder="1" applyAlignment="1">
      <alignment vertical="center"/>
      <protection/>
    </xf>
    <xf numFmtId="3" fontId="94" fillId="0" borderId="11" xfId="75" applyNumberFormat="1" applyFont="1" applyFill="1" applyBorder="1" applyAlignment="1">
      <alignment horizontal="right" vertical="center"/>
      <protection/>
    </xf>
    <xf numFmtId="3" fontId="36" fillId="33" borderId="11" xfId="75" applyNumberFormat="1" applyFont="1" applyFill="1" applyBorder="1" applyAlignment="1">
      <alignment horizontal="center" vertical="center" wrapText="1"/>
      <protection/>
    </xf>
    <xf numFmtId="3" fontId="37" fillId="33" borderId="47" xfId="75" applyNumberFormat="1" applyFont="1" applyFill="1" applyBorder="1" applyAlignment="1">
      <alignment vertical="center"/>
      <protection/>
    </xf>
    <xf numFmtId="3" fontId="95" fillId="33" borderId="0" xfId="75" applyNumberFormat="1" applyFont="1" applyFill="1" applyAlignment="1">
      <alignment vertical="center"/>
      <protection/>
    </xf>
    <xf numFmtId="49" fontId="96" fillId="0" borderId="11" xfId="79" applyNumberFormat="1" applyFont="1" applyBorder="1" applyAlignment="1">
      <alignment wrapText="1"/>
      <protection/>
    </xf>
    <xf numFmtId="3" fontId="94" fillId="0" borderId="11" xfId="75" applyNumberFormat="1" applyFont="1" applyFill="1" applyBorder="1" applyAlignment="1">
      <alignment vertical="center"/>
      <protection/>
    </xf>
    <xf numFmtId="3" fontId="95" fillId="33" borderId="11" xfId="75" applyNumberFormat="1" applyFont="1" applyFill="1" applyBorder="1" applyAlignment="1">
      <alignment vertical="center"/>
      <protection/>
    </xf>
    <xf numFmtId="3" fontId="36" fillId="3" borderId="11" xfId="75" applyNumberFormat="1" applyFont="1" applyFill="1" applyBorder="1" applyAlignment="1">
      <alignment vertical="center"/>
      <protection/>
    </xf>
    <xf numFmtId="1" fontId="26" fillId="38" borderId="11" xfId="75" applyNumberFormat="1" applyFont="1" applyFill="1" applyBorder="1" applyAlignment="1">
      <alignment horizontal="center" vertical="center" wrapText="1"/>
      <protection/>
    </xf>
    <xf numFmtId="3" fontId="36" fillId="38" borderId="11" xfId="75" applyNumberFormat="1" applyFont="1" applyFill="1" applyBorder="1" applyAlignment="1">
      <alignment horizontal="center" vertical="center"/>
      <protection/>
    </xf>
    <xf numFmtId="3" fontId="37" fillId="0" borderId="11" xfId="75" applyNumberFormat="1" applyFont="1" applyFill="1" applyBorder="1" applyAlignment="1">
      <alignment horizontal="right" vertical="center"/>
      <protection/>
    </xf>
    <xf numFmtId="3" fontId="36" fillId="38" borderId="11" xfId="75" applyNumberFormat="1" applyFont="1" applyFill="1" applyBorder="1" applyAlignment="1">
      <alignment horizontal="center" vertical="center" wrapText="1"/>
      <protection/>
    </xf>
    <xf numFmtId="3" fontId="37" fillId="0" borderId="0" xfId="75" applyNumberFormat="1" applyFont="1" applyFill="1" applyAlignment="1">
      <alignment vertical="center" wrapText="1"/>
      <protection/>
    </xf>
    <xf numFmtId="0" fontId="17" fillId="0" borderId="0" xfId="66" applyFont="1" applyAlignment="1">
      <alignment horizontal="right"/>
      <protection/>
    </xf>
    <xf numFmtId="0" fontId="11" fillId="0" borderId="48" xfId="80" applyBorder="1" applyAlignment="1">
      <alignment vertical="center"/>
      <protection/>
    </xf>
    <xf numFmtId="0" fontId="11" fillId="0" borderId="49" xfId="80" applyFont="1" applyBorder="1" applyAlignment="1">
      <alignment horizontal="center" vertical="center" wrapText="1"/>
      <protection/>
    </xf>
    <xf numFmtId="0" fontId="11" fillId="0" borderId="49" xfId="80" applyFont="1" applyBorder="1" applyAlignment="1">
      <alignment vertical="center" wrapText="1"/>
      <protection/>
    </xf>
    <xf numFmtId="0" fontId="11" fillId="0" borderId="50" xfId="80" applyBorder="1" applyAlignment="1">
      <alignment horizontal="center" vertical="center"/>
      <protection/>
    </xf>
    <xf numFmtId="0" fontId="38" fillId="0" borderId="51" xfId="80" applyFont="1" applyBorder="1" applyAlignment="1">
      <alignment horizontal="left" vertical="center"/>
      <protection/>
    </xf>
    <xf numFmtId="0" fontId="11" fillId="0" borderId="52" xfId="80" applyBorder="1" applyAlignment="1">
      <alignment horizontal="left" vertical="center"/>
      <protection/>
    </xf>
    <xf numFmtId="0" fontId="11" fillId="0" borderId="53" xfId="80" applyBorder="1" applyAlignment="1">
      <alignment horizontal="left" vertical="center" wrapText="1"/>
      <protection/>
    </xf>
    <xf numFmtId="14" fontId="11" fillId="0" borderId="54" xfId="80" applyNumberFormat="1" applyBorder="1" applyAlignment="1">
      <alignment horizontal="left" vertical="center"/>
      <protection/>
    </xf>
    <xf numFmtId="0" fontId="11" fillId="0" borderId="55" xfId="80" applyBorder="1" applyAlignment="1">
      <alignment horizontal="left" vertical="center"/>
      <protection/>
    </xf>
    <xf numFmtId="0" fontId="11" fillId="0" borderId="50" xfId="80" applyBorder="1" applyAlignment="1">
      <alignment horizontal="left" vertical="center" wrapText="1"/>
      <protection/>
    </xf>
    <xf numFmtId="14" fontId="11" fillId="0" borderId="49" xfId="80" applyNumberFormat="1" applyBorder="1" applyAlignment="1">
      <alignment horizontal="left" vertical="center"/>
      <protection/>
    </xf>
    <xf numFmtId="0" fontId="11" fillId="0" borderId="51" xfId="80" applyBorder="1" applyAlignment="1">
      <alignment horizontal="left" vertical="center"/>
      <protection/>
    </xf>
    <xf numFmtId="0" fontId="38" fillId="0" borderId="52" xfId="80" applyFont="1" applyBorder="1" applyAlignment="1">
      <alignment horizontal="left" vertical="center"/>
      <protection/>
    </xf>
    <xf numFmtId="0" fontId="11" fillId="0" borderId="53" xfId="80" applyFont="1" applyBorder="1" applyAlignment="1">
      <alignment horizontal="left" vertical="center" wrapText="1"/>
      <protection/>
    </xf>
    <xf numFmtId="0" fontId="38" fillId="39" borderId="51" xfId="80" applyFont="1" applyFill="1" applyBorder="1" applyAlignment="1">
      <alignment horizontal="left" vertical="center"/>
      <protection/>
    </xf>
    <xf numFmtId="0" fontId="11" fillId="39" borderId="52" xfId="80" applyFill="1" applyBorder="1" applyAlignment="1">
      <alignment horizontal="left" vertical="center"/>
      <protection/>
    </xf>
    <xf numFmtId="0" fontId="11" fillId="39" borderId="53" xfId="80" applyFill="1" applyBorder="1" applyAlignment="1">
      <alignment horizontal="left" vertical="center" wrapText="1"/>
      <protection/>
    </xf>
    <xf numFmtId="0" fontId="11" fillId="39" borderId="54" xfId="80" applyFill="1" applyBorder="1" applyAlignment="1">
      <alignment horizontal="left" vertical="center"/>
      <protection/>
    </xf>
    <xf numFmtId="0" fontId="38" fillId="39" borderId="55" xfId="80" applyFont="1" applyFill="1" applyBorder="1" applyAlignment="1">
      <alignment horizontal="left" vertical="center"/>
      <protection/>
    </xf>
    <xf numFmtId="0" fontId="11" fillId="39" borderId="50" xfId="80" applyFill="1" applyBorder="1" applyAlignment="1">
      <alignment horizontal="left" vertical="center" wrapText="1"/>
      <protection/>
    </xf>
    <xf numFmtId="0" fontId="11" fillId="39" borderId="49" xfId="80" applyFill="1" applyBorder="1" applyAlignment="1">
      <alignment horizontal="left" vertical="center"/>
      <protection/>
    </xf>
    <xf numFmtId="0" fontId="11" fillId="0" borderId="53" xfId="80" applyBorder="1" applyAlignment="1">
      <alignment horizontal="left" vertical="center"/>
      <protection/>
    </xf>
    <xf numFmtId="0" fontId="11" fillId="0" borderId="54" xfId="80" applyBorder="1" applyAlignment="1">
      <alignment horizontal="left" vertical="center"/>
      <protection/>
    </xf>
    <xf numFmtId="0" fontId="11" fillId="39" borderId="0" xfId="80" applyFill="1" applyAlignment="1">
      <alignment wrapText="1"/>
      <protection/>
    </xf>
    <xf numFmtId="0" fontId="11" fillId="0" borderId="56" xfId="80" applyFont="1" applyBorder="1">
      <alignment/>
      <protection/>
    </xf>
    <xf numFmtId="3" fontId="11" fillId="0" borderId="56" xfId="80" applyNumberFormat="1" applyFont="1" applyBorder="1" applyAlignment="1">
      <alignment horizontal="center"/>
      <protection/>
    </xf>
    <xf numFmtId="3" fontId="11" fillId="0" borderId="56" xfId="80" applyNumberFormat="1" applyFont="1" applyBorder="1">
      <alignment/>
      <protection/>
    </xf>
    <xf numFmtId="0" fontId="11" fillId="0" borderId="0" xfId="80" applyFont="1">
      <alignment/>
      <protection/>
    </xf>
    <xf numFmtId="3" fontId="30" fillId="0" borderId="57" xfId="77" applyNumberFormat="1" applyFont="1" applyBorder="1" applyAlignment="1">
      <alignment vertical="center" wrapText="1"/>
      <protection/>
    </xf>
    <xf numFmtId="3" fontId="30" fillId="0" borderId="0" xfId="77" applyNumberFormat="1" applyFont="1" applyAlignment="1">
      <alignment horizontal="center" vertical="center" wrapText="1"/>
      <protection/>
    </xf>
    <xf numFmtId="3" fontId="41" fillId="0" borderId="57" xfId="77" applyNumberFormat="1" applyFont="1" applyBorder="1" applyAlignment="1">
      <alignment horizontal="left" vertical="center" wrapText="1"/>
      <protection/>
    </xf>
    <xf numFmtId="3" fontId="31" fillId="0" borderId="0" xfId="77" applyNumberFormat="1" applyFont="1" applyAlignment="1">
      <alignment horizontal="center" vertical="center" wrapText="1"/>
      <protection/>
    </xf>
    <xf numFmtId="3" fontId="27" fillId="0" borderId="11" xfId="77" applyNumberFormat="1" applyFont="1" applyBorder="1" applyAlignment="1">
      <alignment vertical="center"/>
      <protection/>
    </xf>
    <xf numFmtId="3" fontId="27" fillId="0" borderId="13" xfId="77" applyNumberFormat="1" applyFont="1" applyBorder="1" applyAlignment="1">
      <alignment vertical="center"/>
      <protection/>
    </xf>
    <xf numFmtId="49" fontId="27" fillId="0" borderId="13" xfId="77" applyNumberFormat="1" applyFont="1" applyBorder="1" applyAlignment="1">
      <alignment horizontal="center" vertical="center"/>
      <protection/>
    </xf>
    <xf numFmtId="3" fontId="27" fillId="0" borderId="20" xfId="77" applyNumberFormat="1" applyFont="1" applyBorder="1" applyAlignment="1">
      <alignment vertical="center"/>
      <protection/>
    </xf>
    <xf numFmtId="3" fontId="26" fillId="40" borderId="13" xfId="77" applyNumberFormat="1" applyFont="1" applyFill="1" applyBorder="1" applyAlignment="1">
      <alignment vertical="center"/>
      <protection/>
    </xf>
    <xf numFmtId="3" fontId="42" fillId="0" borderId="0" xfId="77" applyNumberFormat="1" applyFont="1" applyAlignment="1">
      <alignment horizontal="left" vertical="center"/>
      <protection/>
    </xf>
    <xf numFmtId="3" fontId="27" fillId="0" borderId="0" xfId="77" applyNumberFormat="1" applyFont="1" applyAlignment="1">
      <alignment vertical="center"/>
      <protection/>
    </xf>
    <xf numFmtId="49" fontId="27" fillId="0" borderId="11" xfId="77" applyNumberFormat="1" applyFont="1" applyBorder="1" applyAlignment="1">
      <alignment horizontal="center" vertical="center"/>
      <protection/>
    </xf>
    <xf numFmtId="3" fontId="27" fillId="0" borderId="18" xfId="77" applyNumberFormat="1" applyFont="1" applyBorder="1" applyAlignment="1">
      <alignment vertical="center"/>
      <protection/>
    </xf>
    <xf numFmtId="3" fontId="43" fillId="0" borderId="11" xfId="77" applyNumberFormat="1" applyFont="1" applyBorder="1" applyAlignment="1">
      <alignment vertical="center"/>
      <protection/>
    </xf>
    <xf numFmtId="3" fontId="43" fillId="40" borderId="11" xfId="77" applyNumberFormat="1" applyFont="1" applyFill="1" applyBorder="1" applyAlignment="1">
      <alignment vertical="center"/>
      <protection/>
    </xf>
    <xf numFmtId="3" fontId="43" fillId="0" borderId="0" xfId="77" applyNumberFormat="1" applyFont="1" applyAlignment="1">
      <alignment vertical="center"/>
      <protection/>
    </xf>
    <xf numFmtId="3" fontId="26" fillId="0" borderId="0" xfId="77" applyNumberFormat="1" applyFont="1" applyBorder="1" applyAlignment="1">
      <alignment vertical="center"/>
      <protection/>
    </xf>
    <xf numFmtId="3" fontId="26" fillId="0" borderId="0" xfId="77" applyNumberFormat="1" applyFont="1" applyAlignment="1">
      <alignment vertical="center"/>
      <protection/>
    </xf>
    <xf numFmtId="3" fontId="27" fillId="0" borderId="0" xfId="77" applyNumberFormat="1" applyFont="1" applyBorder="1" applyAlignment="1">
      <alignment vertical="center"/>
      <protection/>
    </xf>
    <xf numFmtId="3" fontId="27" fillId="0" borderId="11" xfId="77" applyNumberFormat="1" applyFont="1" applyFill="1" applyBorder="1" applyAlignment="1">
      <alignment horizontal="left" vertical="center"/>
      <protection/>
    </xf>
    <xf numFmtId="49" fontId="27" fillId="0" borderId="11" xfId="77" applyNumberFormat="1" applyFont="1" applyFill="1" applyBorder="1" applyAlignment="1">
      <alignment horizontal="center" vertical="center"/>
      <protection/>
    </xf>
    <xf numFmtId="3" fontId="27" fillId="0" borderId="11" xfId="77" applyNumberFormat="1" applyFont="1" applyFill="1" applyBorder="1" applyAlignment="1">
      <alignment horizontal="center" vertical="center"/>
      <protection/>
    </xf>
    <xf numFmtId="3" fontId="27" fillId="0" borderId="11" xfId="77" applyNumberFormat="1" applyFont="1" applyFill="1" applyBorder="1" applyAlignment="1">
      <alignment horizontal="left" vertical="center" wrapText="1"/>
      <protection/>
    </xf>
    <xf numFmtId="3" fontId="27" fillId="7" borderId="11" xfId="77" applyNumberFormat="1" applyFont="1" applyFill="1" applyBorder="1" applyAlignment="1">
      <alignment vertical="center"/>
      <protection/>
    </xf>
    <xf numFmtId="3" fontId="27" fillId="0" borderId="11" xfId="77" applyNumberFormat="1" applyFont="1" applyFill="1" applyBorder="1" applyAlignment="1">
      <alignment horizontal="right" vertical="center"/>
      <protection/>
    </xf>
    <xf numFmtId="49" fontId="27" fillId="0" borderId="11" xfId="77" applyNumberFormat="1" applyFont="1" applyFill="1" applyBorder="1" applyAlignment="1">
      <alignment horizontal="center" vertical="center" wrapText="1"/>
      <protection/>
    </xf>
    <xf numFmtId="3" fontId="27" fillId="0" borderId="13" xfId="77" applyNumberFormat="1" applyFont="1" applyFill="1" applyBorder="1" applyAlignment="1">
      <alignment horizontal="left" vertical="center"/>
      <protection/>
    </xf>
    <xf numFmtId="3" fontId="43" fillId="0" borderId="0" xfId="77" applyNumberFormat="1" applyFont="1" applyBorder="1" applyAlignment="1">
      <alignment vertical="center"/>
      <protection/>
    </xf>
    <xf numFmtId="0" fontId="37" fillId="0" borderId="11" xfId="76" applyFont="1" applyFill="1" applyBorder="1" applyAlignment="1">
      <alignment horizontal="center"/>
      <protection/>
    </xf>
    <xf numFmtId="224" fontId="27" fillId="0" borderId="11" xfId="76" applyNumberFormat="1" applyFont="1" applyFill="1" applyBorder="1">
      <alignment/>
      <protection/>
    </xf>
    <xf numFmtId="0" fontId="37" fillId="0" borderId="13" xfId="76" applyFont="1" applyFill="1" applyBorder="1" applyAlignment="1">
      <alignment horizontal="center"/>
      <protection/>
    </xf>
    <xf numFmtId="3" fontId="27" fillId="0" borderId="11" xfId="76" applyNumberFormat="1" applyFont="1" applyBorder="1">
      <alignment/>
      <protection/>
    </xf>
    <xf numFmtId="224" fontId="27" fillId="0" borderId="13" xfId="76" applyNumberFormat="1" applyFont="1" applyFill="1" applyBorder="1">
      <alignment/>
      <protection/>
    </xf>
    <xf numFmtId="0" fontId="37" fillId="0" borderId="13" xfId="76" applyFont="1" applyBorder="1" applyAlignment="1">
      <alignment horizontal="center"/>
      <protection/>
    </xf>
    <xf numFmtId="0" fontId="37" fillId="0" borderId="13" xfId="76" applyFont="1" applyBorder="1">
      <alignment/>
      <protection/>
    </xf>
    <xf numFmtId="49" fontId="30" fillId="0" borderId="11" xfId="76" applyNumberFormat="1" applyFont="1" applyBorder="1" applyAlignment="1">
      <alignment horizontal="center"/>
      <protection/>
    </xf>
    <xf numFmtId="3" fontId="27" fillId="0" borderId="12" xfId="76" applyNumberFormat="1" applyFont="1" applyBorder="1" applyAlignment="1">
      <alignment vertical="center" wrapText="1"/>
      <protection/>
    </xf>
    <xf numFmtId="3" fontId="27" fillId="0" borderId="11" xfId="76" applyNumberFormat="1" applyFont="1" applyBorder="1" applyAlignment="1">
      <alignment vertical="center" wrapText="1"/>
      <protection/>
    </xf>
    <xf numFmtId="3" fontId="44" fillId="0" borderId="11" xfId="76" applyNumberFormat="1" applyFont="1" applyBorder="1" applyAlignment="1">
      <alignment vertical="center" wrapText="1"/>
      <protection/>
    </xf>
    <xf numFmtId="3" fontId="27" fillId="41" borderId="11" xfId="77" applyNumberFormat="1" applyFont="1" applyFill="1" applyBorder="1" applyAlignment="1">
      <alignment horizontal="left" vertical="center"/>
      <protection/>
    </xf>
    <xf numFmtId="49" fontId="27" fillId="41" borderId="11" xfId="77" applyNumberFormat="1" applyFont="1" applyFill="1" applyBorder="1" applyAlignment="1">
      <alignment horizontal="center" vertical="center"/>
      <protection/>
    </xf>
    <xf numFmtId="49" fontId="27" fillId="41" borderId="11" xfId="77" applyNumberFormat="1" applyFont="1" applyFill="1" applyBorder="1" applyAlignment="1">
      <alignment horizontal="center" vertical="center" wrapText="1"/>
      <protection/>
    </xf>
    <xf numFmtId="3" fontId="27" fillId="41" borderId="11" xfId="77" applyNumberFormat="1" applyFont="1" applyFill="1" applyBorder="1" applyAlignment="1">
      <alignment horizontal="center" vertical="center"/>
      <protection/>
    </xf>
    <xf numFmtId="3" fontId="27" fillId="41" borderId="11" xfId="77" applyNumberFormat="1" applyFont="1" applyFill="1" applyBorder="1" applyAlignment="1">
      <alignment horizontal="left" vertical="center" wrapText="1"/>
      <protection/>
    </xf>
    <xf numFmtId="3" fontId="27" fillId="41" borderId="11" xfId="77" applyNumberFormat="1" applyFont="1" applyFill="1" applyBorder="1" applyAlignment="1">
      <alignment vertical="center"/>
      <protection/>
    </xf>
    <xf numFmtId="3" fontId="26" fillId="41" borderId="13" xfId="77" applyNumberFormat="1" applyFont="1" applyFill="1" applyBorder="1" applyAlignment="1">
      <alignment vertical="center"/>
      <protection/>
    </xf>
    <xf numFmtId="49" fontId="27" fillId="0" borderId="47" xfId="77" applyNumberFormat="1" applyFont="1" applyFill="1" applyBorder="1" applyAlignment="1">
      <alignment horizontal="left" vertical="center"/>
      <protection/>
    </xf>
    <xf numFmtId="49" fontId="27" fillId="0" borderId="47" xfId="77" applyNumberFormat="1" applyFont="1" applyFill="1" applyBorder="1" applyAlignment="1">
      <alignment horizontal="left" vertical="center" wrapText="1"/>
      <protection/>
    </xf>
    <xf numFmtId="3" fontId="30" fillId="0" borderId="13" xfId="76" applyNumberFormat="1" applyFont="1" applyBorder="1" applyAlignment="1">
      <alignment vertical="center" wrapText="1"/>
      <protection/>
    </xf>
    <xf numFmtId="3" fontId="43" fillId="40" borderId="12" xfId="77" applyNumberFormat="1" applyFont="1" applyFill="1" applyBorder="1" applyAlignment="1">
      <alignment vertical="center"/>
      <protection/>
    </xf>
    <xf numFmtId="3" fontId="43" fillId="0" borderId="12" xfId="77" applyNumberFormat="1" applyFont="1" applyBorder="1" applyAlignment="1">
      <alignment vertical="center"/>
      <protection/>
    </xf>
    <xf numFmtId="3" fontId="43" fillId="0" borderId="0" xfId="77" applyNumberFormat="1" applyFont="1" applyAlignment="1">
      <alignment horizontal="left" vertical="center"/>
      <protection/>
    </xf>
    <xf numFmtId="3" fontId="27" fillId="0" borderId="0" xfId="77" applyNumberFormat="1" applyFont="1" applyFill="1" applyBorder="1" applyAlignment="1">
      <alignment horizontal="left" vertical="center"/>
      <protection/>
    </xf>
    <xf numFmtId="3" fontId="27" fillId="0" borderId="0" xfId="77" applyNumberFormat="1" applyFont="1" applyFill="1" applyBorder="1" applyAlignment="1">
      <alignment horizontal="right" vertical="center"/>
      <protection/>
    </xf>
    <xf numFmtId="3" fontId="27" fillId="0" borderId="0" xfId="77" applyNumberFormat="1" applyFont="1" applyFill="1" applyBorder="1" applyAlignment="1">
      <alignment vertical="center"/>
      <protection/>
    </xf>
    <xf numFmtId="3" fontId="27" fillId="0" borderId="12" xfId="77" applyNumberFormat="1" applyFont="1" applyFill="1" applyBorder="1" applyAlignment="1">
      <alignment vertical="center"/>
      <protection/>
    </xf>
    <xf numFmtId="3" fontId="26" fillId="40" borderId="11" xfId="77" applyNumberFormat="1" applyFont="1" applyFill="1" applyBorder="1" applyAlignment="1">
      <alignment vertical="center"/>
      <protection/>
    </xf>
    <xf numFmtId="3" fontId="27" fillId="0" borderId="0" xfId="77" applyNumberFormat="1" applyFont="1" applyFill="1" applyAlignment="1">
      <alignment vertical="center"/>
      <protection/>
    </xf>
    <xf numFmtId="3" fontId="27" fillId="0" borderId="47" xfId="77" applyNumberFormat="1" applyFont="1" applyFill="1" applyBorder="1" applyAlignment="1">
      <alignment horizontal="left" vertical="center"/>
      <protection/>
    </xf>
    <xf numFmtId="3" fontId="44" fillId="0" borderId="11" xfId="77" applyNumberFormat="1" applyFont="1" applyFill="1" applyBorder="1" applyAlignment="1">
      <alignment horizontal="left" vertical="center"/>
      <protection/>
    </xf>
    <xf numFmtId="3" fontId="27" fillId="0" borderId="11" xfId="73" applyNumberFormat="1" applyFont="1" applyBorder="1" applyAlignment="1">
      <alignment wrapText="1"/>
      <protection/>
    </xf>
    <xf numFmtId="3" fontId="26" fillId="0" borderId="0" xfId="77" applyNumberFormat="1" applyFont="1">
      <alignment/>
      <protection/>
    </xf>
    <xf numFmtId="3" fontId="26" fillId="42" borderId="11" xfId="77" applyNumberFormat="1" applyFont="1" applyFill="1" applyBorder="1">
      <alignment/>
      <protection/>
    </xf>
    <xf numFmtId="3" fontId="26" fillId="0" borderId="0" xfId="77" applyNumberFormat="1" applyFont="1" applyFill="1">
      <alignment/>
      <protection/>
    </xf>
    <xf numFmtId="3" fontId="26" fillId="0" borderId="11" xfId="77" applyNumberFormat="1" applyFont="1" applyFill="1" applyBorder="1">
      <alignment/>
      <protection/>
    </xf>
    <xf numFmtId="3" fontId="27" fillId="0" borderId="0" xfId="77" applyNumberFormat="1" applyFont="1">
      <alignment/>
      <protection/>
    </xf>
    <xf numFmtId="3" fontId="27" fillId="0" borderId="14" xfId="77" applyNumberFormat="1" applyFont="1" applyBorder="1">
      <alignment/>
      <protection/>
    </xf>
    <xf numFmtId="49" fontId="27" fillId="0" borderId="14" xfId="77" applyNumberFormat="1" applyFont="1" applyBorder="1" applyAlignment="1">
      <alignment horizontal="center"/>
      <protection/>
    </xf>
    <xf numFmtId="3" fontId="27" fillId="0" borderId="14" xfId="77" applyNumberFormat="1" applyFont="1" applyBorder="1" applyAlignment="1">
      <alignment horizontal="right"/>
      <protection/>
    </xf>
    <xf numFmtId="3" fontId="27" fillId="0" borderId="14" xfId="77" applyNumberFormat="1" applyFont="1" applyFill="1" applyBorder="1">
      <alignment/>
      <protection/>
    </xf>
    <xf numFmtId="49" fontId="27" fillId="0" borderId="0" xfId="77" applyNumberFormat="1" applyFont="1" applyAlignment="1">
      <alignment horizontal="center"/>
      <protection/>
    </xf>
    <xf numFmtId="3" fontId="27" fillId="0" borderId="0" xfId="77" applyNumberFormat="1" applyFont="1" applyAlignment="1">
      <alignment horizontal="right"/>
      <protection/>
    </xf>
    <xf numFmtId="3" fontId="27" fillId="0" borderId="0" xfId="77" applyNumberFormat="1" applyFont="1" applyFill="1">
      <alignment/>
      <protection/>
    </xf>
    <xf numFmtId="3" fontId="27" fillId="0" borderId="0" xfId="77" applyNumberFormat="1" applyFont="1" applyFill="1" applyBorder="1">
      <alignment/>
      <protection/>
    </xf>
    <xf numFmtId="3" fontId="27" fillId="0" borderId="0" xfId="77" applyNumberFormat="1" applyFont="1" applyAlignment="1">
      <alignment horizontal="center"/>
      <protection/>
    </xf>
    <xf numFmtId="0" fontId="45" fillId="0" borderId="0" xfId="74" applyFont="1">
      <alignment/>
      <protection/>
    </xf>
    <xf numFmtId="0" fontId="45" fillId="0" borderId="11" xfId="74" applyFont="1" applyBorder="1">
      <alignment/>
      <protection/>
    </xf>
    <xf numFmtId="0" fontId="45" fillId="0" borderId="11" xfId="74" applyFont="1" applyBorder="1" applyAlignment="1">
      <alignment horizontal="center" vertical="center" wrapText="1"/>
      <protection/>
    </xf>
    <xf numFmtId="0" fontId="45" fillId="0" borderId="11" xfId="74" applyFont="1" applyFill="1" applyBorder="1" applyAlignment="1">
      <alignment horizontal="center" vertical="center" wrapText="1"/>
      <protection/>
    </xf>
    <xf numFmtId="0" fontId="46" fillId="0" borderId="11" xfId="74" applyFont="1" applyBorder="1" applyAlignment="1">
      <alignment horizontal="center" vertical="center" wrapText="1"/>
      <protection/>
    </xf>
    <xf numFmtId="0" fontId="45" fillId="0" borderId="11" xfId="74" applyFont="1" applyBorder="1" applyAlignment="1">
      <alignment horizontal="center" vertical="center"/>
      <protection/>
    </xf>
    <xf numFmtId="0" fontId="46" fillId="0" borderId="11" xfId="74" applyFont="1" applyFill="1" applyBorder="1" applyAlignment="1">
      <alignment horizontal="center" vertical="center" wrapText="1"/>
      <protection/>
    </xf>
    <xf numFmtId="0" fontId="46" fillId="0" borderId="11" xfId="74" applyFont="1" applyBorder="1" applyAlignment="1">
      <alignment horizontal="center" vertical="center"/>
      <protection/>
    </xf>
    <xf numFmtId="0" fontId="45" fillId="0" borderId="0" xfId="74" applyFont="1" applyBorder="1">
      <alignment/>
      <protection/>
    </xf>
    <xf numFmtId="3" fontId="45" fillId="0" borderId="11" xfId="74" applyNumberFormat="1" applyFont="1" applyBorder="1" applyAlignment="1">
      <alignment vertical="center"/>
      <protection/>
    </xf>
    <xf numFmtId="3" fontId="46" fillId="0" borderId="11" xfId="74" applyNumberFormat="1" applyFont="1" applyBorder="1" applyAlignment="1">
      <alignment vertical="center"/>
      <protection/>
    </xf>
    <xf numFmtId="3" fontId="45" fillId="0" borderId="11" xfId="74" applyNumberFormat="1" applyFont="1" applyFill="1" applyBorder="1" applyAlignment="1">
      <alignment vertical="center"/>
      <protection/>
    </xf>
    <xf numFmtId="10" fontId="45" fillId="0" borderId="11" xfId="74" applyNumberFormat="1" applyFont="1" applyBorder="1" applyAlignment="1">
      <alignment vertical="center"/>
      <protection/>
    </xf>
    <xf numFmtId="10" fontId="46" fillId="0" borderId="11" xfId="74" applyNumberFormat="1" applyFont="1" applyBorder="1" applyAlignment="1">
      <alignment vertical="center"/>
      <protection/>
    </xf>
    <xf numFmtId="0" fontId="45" fillId="0" borderId="0" xfId="71" applyFont="1">
      <alignment/>
      <protection/>
    </xf>
    <xf numFmtId="0" fontId="23" fillId="0" borderId="0" xfId="71">
      <alignment/>
      <protection/>
    </xf>
    <xf numFmtId="0" fontId="45" fillId="0" borderId="11" xfId="71" applyFont="1" applyBorder="1">
      <alignment/>
      <protection/>
    </xf>
    <xf numFmtId="0" fontId="45" fillId="0" borderId="11" xfId="71" applyFont="1" applyBorder="1" applyAlignment="1">
      <alignment horizontal="center" vertical="center" wrapText="1"/>
      <protection/>
    </xf>
    <xf numFmtId="0" fontId="46" fillId="0" borderId="11" xfId="71" applyFont="1" applyBorder="1" applyAlignment="1">
      <alignment horizontal="center" vertical="center" wrapText="1"/>
      <protection/>
    </xf>
    <xf numFmtId="0" fontId="46" fillId="0" borderId="11" xfId="71" applyFont="1" applyBorder="1" applyAlignment="1">
      <alignment horizontal="center" vertical="center"/>
      <protection/>
    </xf>
    <xf numFmtId="0" fontId="45" fillId="0" borderId="11" xfId="71" applyFont="1" applyBorder="1" applyAlignment="1">
      <alignment horizontal="center" vertical="center"/>
      <protection/>
    </xf>
    <xf numFmtId="3" fontId="45" fillId="0" borderId="11" xfId="71" applyNumberFormat="1" applyFont="1" applyBorder="1" applyAlignment="1">
      <alignment vertical="center"/>
      <protection/>
    </xf>
    <xf numFmtId="3" fontId="46" fillId="0" borderId="11" xfId="71" applyNumberFormat="1" applyFont="1" applyBorder="1" applyAlignment="1">
      <alignment vertical="center"/>
      <protection/>
    </xf>
    <xf numFmtId="10" fontId="45" fillId="0" borderId="11" xfId="71" applyNumberFormat="1" applyFont="1" applyBorder="1" applyAlignment="1">
      <alignment vertical="center" wrapText="1"/>
      <protection/>
    </xf>
    <xf numFmtId="10" fontId="46" fillId="0" borderId="11" xfId="71" applyNumberFormat="1" applyFont="1" applyBorder="1" applyAlignment="1">
      <alignment vertical="center" wrapText="1"/>
      <protection/>
    </xf>
    <xf numFmtId="3" fontId="27" fillId="0" borderId="0" xfId="77" applyNumberFormat="1" applyFont="1" applyFill="1" applyAlignment="1">
      <alignment horizontal="center" vertical="center" wrapText="1"/>
      <protection/>
    </xf>
    <xf numFmtId="3" fontId="26" fillId="0" borderId="0" xfId="77" applyNumberFormat="1" applyFont="1" applyFill="1" applyAlignment="1">
      <alignment horizontal="center" vertical="center" wrapText="1"/>
      <protection/>
    </xf>
    <xf numFmtId="3" fontId="27" fillId="0" borderId="58" xfId="77" applyNumberFormat="1" applyFont="1" applyFill="1" applyBorder="1" applyAlignment="1">
      <alignment vertical="center"/>
      <protection/>
    </xf>
    <xf numFmtId="3" fontId="27" fillId="0" borderId="20" xfId="77" applyNumberFormat="1" applyFont="1" applyFill="1" applyBorder="1" applyAlignment="1">
      <alignment vertical="center"/>
      <protection/>
    </xf>
    <xf numFmtId="3" fontId="26" fillId="0" borderId="20" xfId="77" applyNumberFormat="1" applyFont="1" applyFill="1" applyBorder="1" applyAlignment="1">
      <alignment vertical="center"/>
      <protection/>
    </xf>
    <xf numFmtId="3" fontId="27" fillId="0" borderId="11" xfId="77" applyNumberFormat="1" applyFont="1" applyFill="1" applyBorder="1" applyAlignment="1">
      <alignment vertical="center"/>
      <protection/>
    </xf>
    <xf numFmtId="3" fontId="26" fillId="0" borderId="11" xfId="77" applyNumberFormat="1" applyFont="1" applyFill="1" applyBorder="1" applyAlignment="1">
      <alignment vertical="center"/>
      <protection/>
    </xf>
    <xf numFmtId="3" fontId="27" fillId="0" borderId="59" xfId="77" applyNumberFormat="1" applyFont="1" applyFill="1" applyBorder="1" applyAlignment="1">
      <alignment vertical="center"/>
      <protection/>
    </xf>
    <xf numFmtId="3" fontId="26" fillId="0" borderId="59" xfId="77" applyNumberFormat="1" applyFont="1" applyFill="1" applyBorder="1" applyAlignment="1">
      <alignment vertical="center"/>
      <protection/>
    </xf>
    <xf numFmtId="3" fontId="42" fillId="0" borderId="0" xfId="77" applyNumberFormat="1" applyFont="1" applyFill="1" applyBorder="1" applyAlignment="1">
      <alignment vertical="center"/>
      <protection/>
    </xf>
    <xf numFmtId="3" fontId="42" fillId="0" borderId="20" xfId="77" applyNumberFormat="1" applyFont="1" applyFill="1" applyBorder="1" applyAlignment="1">
      <alignment vertical="center"/>
      <protection/>
    </xf>
    <xf numFmtId="3" fontId="42" fillId="0" borderId="0" xfId="77" applyNumberFormat="1" applyFont="1" applyFill="1" applyAlignment="1">
      <alignment vertical="center"/>
      <protection/>
    </xf>
    <xf numFmtId="3" fontId="42" fillId="0" borderId="11" xfId="77" applyNumberFormat="1" applyFont="1" applyFill="1" applyBorder="1" applyAlignment="1">
      <alignment vertical="center"/>
      <protection/>
    </xf>
    <xf numFmtId="3" fontId="27" fillId="0" borderId="20" xfId="68" applyNumberFormat="1" applyFont="1" applyFill="1" applyBorder="1" applyAlignment="1">
      <alignment vertical="center"/>
      <protection/>
    </xf>
    <xf numFmtId="3" fontId="27" fillId="0" borderId="11" xfId="68" applyNumberFormat="1" applyFont="1" applyFill="1" applyBorder="1" applyAlignment="1">
      <alignment vertical="center"/>
      <protection/>
    </xf>
    <xf numFmtId="3" fontId="27" fillId="0" borderId="59" xfId="68" applyNumberFormat="1" applyFont="1" applyFill="1" applyBorder="1" applyAlignment="1">
      <alignment vertical="center"/>
      <protection/>
    </xf>
    <xf numFmtId="3" fontId="27" fillId="0" borderId="13" xfId="77" applyNumberFormat="1" applyFont="1" applyFill="1" applyBorder="1" applyAlignment="1">
      <alignment vertical="center"/>
      <protection/>
    </xf>
    <xf numFmtId="3" fontId="26" fillId="0" borderId="13" xfId="77" applyNumberFormat="1" applyFont="1" applyFill="1" applyBorder="1" applyAlignment="1">
      <alignment vertical="center"/>
      <protection/>
    </xf>
    <xf numFmtId="3" fontId="37" fillId="0" borderId="20" xfId="68" applyNumberFormat="1" applyFont="1" applyFill="1" applyBorder="1" applyAlignment="1">
      <alignment horizontal="right" vertical="center" wrapText="1"/>
      <protection/>
    </xf>
    <xf numFmtId="3" fontId="37" fillId="0" borderId="11" xfId="68" applyNumberFormat="1" applyFont="1" applyFill="1" applyBorder="1" applyAlignment="1">
      <alignment horizontal="right" vertical="center" wrapText="1"/>
      <protection/>
    </xf>
    <xf numFmtId="3" fontId="37" fillId="0" borderId="59" xfId="68" applyNumberFormat="1" applyFont="1" applyFill="1" applyBorder="1" applyAlignment="1">
      <alignment horizontal="right" vertical="center" wrapText="1"/>
      <protection/>
    </xf>
    <xf numFmtId="3" fontId="27" fillId="0" borderId="0" xfId="77" applyNumberFormat="1" applyFont="1" applyFill="1" applyAlignment="1">
      <alignment horizontal="center"/>
      <protection/>
    </xf>
    <xf numFmtId="3" fontId="27" fillId="0" borderId="0" xfId="77" applyNumberFormat="1" applyFont="1" applyFill="1" applyAlignment="1">
      <alignment wrapText="1"/>
      <protection/>
    </xf>
    <xf numFmtId="3" fontId="27" fillId="0" borderId="0" xfId="77" applyNumberFormat="1" applyFont="1" applyFill="1" applyAlignment="1">
      <alignment horizontal="left" vertical="center" wrapText="1"/>
      <protection/>
    </xf>
    <xf numFmtId="3" fontId="26" fillId="0" borderId="60" xfId="77" applyNumberFormat="1" applyFont="1" applyFill="1" applyBorder="1" applyAlignment="1">
      <alignment horizontal="center" vertical="center" wrapText="1"/>
      <protection/>
    </xf>
    <xf numFmtId="3" fontId="26" fillId="0" borderId="61" xfId="77" applyNumberFormat="1" applyFont="1" applyFill="1" applyBorder="1" applyAlignment="1">
      <alignment vertical="center"/>
      <protection/>
    </xf>
    <xf numFmtId="3" fontId="26" fillId="0" borderId="58" xfId="77" applyNumberFormat="1" applyFont="1" applyFill="1" applyBorder="1" applyAlignment="1">
      <alignment vertical="center"/>
      <protection/>
    </xf>
    <xf numFmtId="3" fontId="26" fillId="0" borderId="60" xfId="77" applyNumberFormat="1" applyFont="1" applyFill="1" applyBorder="1" applyAlignment="1">
      <alignment vertical="center"/>
      <protection/>
    </xf>
    <xf numFmtId="0" fontId="27" fillId="43" borderId="0" xfId="70" applyFont="1" applyFill="1" applyBorder="1" applyAlignment="1">
      <alignment vertical="center" wrapText="1"/>
      <protection/>
    </xf>
    <xf numFmtId="0" fontId="26" fillId="43" borderId="0" xfId="70" applyFont="1" applyFill="1" applyBorder="1" applyAlignment="1">
      <alignment vertical="center" wrapText="1"/>
      <protection/>
    </xf>
    <xf numFmtId="3" fontId="36" fillId="44" borderId="11" xfId="75" applyNumberFormat="1" applyFont="1" applyFill="1" applyBorder="1" applyAlignment="1">
      <alignment vertical="center"/>
      <protection/>
    </xf>
    <xf numFmtId="3" fontId="90" fillId="0" borderId="11" xfId="75" applyNumberFormat="1" applyFont="1" applyFill="1" applyBorder="1" applyAlignment="1">
      <alignment vertical="center" wrapText="1"/>
      <protection/>
    </xf>
    <xf numFmtId="49" fontId="90" fillId="0" borderId="11" xfId="79" applyNumberFormat="1" applyFont="1" applyBorder="1" applyAlignment="1">
      <alignment wrapText="1"/>
      <protection/>
    </xf>
    <xf numFmtId="3" fontId="90" fillId="0" borderId="11" xfId="75" applyNumberFormat="1" applyFont="1" applyFill="1" applyBorder="1" applyAlignment="1">
      <alignment horizontal="right" vertical="center"/>
      <protection/>
    </xf>
    <xf numFmtId="0" fontId="16"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7" fillId="0" borderId="0" xfId="0" applyFont="1" applyAlignment="1">
      <alignment horizontal="right" vertical="center"/>
    </xf>
    <xf numFmtId="0" fontId="18" fillId="0" borderId="0" xfId="0" applyFont="1" applyAlignment="1">
      <alignment horizontal="center" vertical="center"/>
    </xf>
    <xf numFmtId="0" fontId="19" fillId="0" borderId="0" xfId="0" applyFont="1" applyAlignment="1">
      <alignment horizontal="right" vertical="center"/>
    </xf>
    <xf numFmtId="0" fontId="17" fillId="0" borderId="0" xfId="0" applyFont="1" applyAlignment="1">
      <alignment horizontal="justify" vertical="center"/>
    </xf>
    <xf numFmtId="0" fontId="18" fillId="1" borderId="11" xfId="0" applyFont="1" applyFill="1" applyBorder="1" applyAlignment="1">
      <alignment horizontal="center" vertical="center" wrapText="1"/>
    </xf>
    <xf numFmtId="0" fontId="16" fillId="0" borderId="11" xfId="0" applyFont="1" applyBorder="1" applyAlignment="1">
      <alignment horizontal="left" vertical="center" wrapText="1"/>
    </xf>
    <xf numFmtId="3" fontId="16" fillId="0" borderId="11" xfId="0" applyNumberFormat="1" applyFont="1" applyBorder="1" applyAlignment="1">
      <alignment horizontal="right" vertical="center" wrapText="1"/>
    </xf>
    <xf numFmtId="0" fontId="16" fillId="0" borderId="0" xfId="0" applyFont="1" applyAlignment="1">
      <alignment vertical="center" wrapText="1"/>
    </xf>
    <xf numFmtId="0" fontId="16" fillId="0" borderId="11" xfId="0" applyFont="1" applyBorder="1" applyAlignment="1">
      <alignment vertical="center" wrapText="1"/>
    </xf>
    <xf numFmtId="0" fontId="16" fillId="0" borderId="0" xfId="0" applyFont="1" applyAlignment="1">
      <alignment horizontal="left" vertical="center"/>
    </xf>
    <xf numFmtId="0" fontId="0" fillId="0" borderId="0" xfId="0" applyAlignment="1">
      <alignment horizontal="left" vertical="center"/>
    </xf>
    <xf numFmtId="3" fontId="0" fillId="0" borderId="0" xfId="0" applyNumberFormat="1" applyAlignment="1">
      <alignment vertical="center"/>
    </xf>
    <xf numFmtId="3" fontId="97" fillId="0" borderId="11" xfId="0" applyNumberFormat="1" applyFont="1" applyBorder="1" applyAlignment="1">
      <alignment horizontal="right" vertical="center" wrapText="1"/>
    </xf>
    <xf numFmtId="0" fontId="16" fillId="34" borderId="11" xfId="0" applyFont="1" applyFill="1" applyBorder="1" applyAlignment="1">
      <alignment horizontal="left" vertical="center" wrapText="1"/>
    </xf>
    <xf numFmtId="0" fontId="16" fillId="0" borderId="11" xfId="0" applyFont="1" applyFill="1" applyBorder="1" applyAlignment="1">
      <alignment horizontal="left" vertical="center" wrapText="1"/>
    </xf>
    <xf numFmtId="3" fontId="16" fillId="0" borderId="47" xfId="77" applyNumberFormat="1" applyFont="1" applyFill="1" applyBorder="1" applyAlignment="1">
      <alignment horizontal="left" vertical="center"/>
      <protection/>
    </xf>
    <xf numFmtId="3" fontId="30" fillId="0" borderId="12" xfId="77" applyNumberFormat="1" applyFont="1" applyBorder="1" applyAlignment="1">
      <alignment horizontal="center" vertical="center" wrapText="1"/>
      <protection/>
    </xf>
    <xf numFmtId="3" fontId="30" fillId="0" borderId="13" xfId="77" applyNumberFormat="1" applyFont="1" applyBorder="1" applyAlignment="1">
      <alignment horizontal="center" vertical="center" wrapText="1"/>
      <protection/>
    </xf>
    <xf numFmtId="3" fontId="31" fillId="0" borderId="12" xfId="77" applyNumberFormat="1" applyFont="1" applyBorder="1" applyAlignment="1">
      <alignment horizontal="center" vertical="center" wrapText="1"/>
      <protection/>
    </xf>
    <xf numFmtId="3" fontId="31" fillId="0" borderId="62" xfId="77" applyNumberFormat="1" applyFont="1" applyBorder="1" applyAlignment="1">
      <alignment horizontal="center" vertical="center" wrapText="1"/>
      <protection/>
    </xf>
    <xf numFmtId="49" fontId="31" fillId="0" borderId="12" xfId="77" applyNumberFormat="1" applyFont="1" applyBorder="1" applyAlignment="1">
      <alignment horizontal="center" vertical="center" wrapText="1"/>
      <protection/>
    </xf>
    <xf numFmtId="49" fontId="31" fillId="0" borderId="62" xfId="77" applyNumberFormat="1" applyFont="1" applyBorder="1" applyAlignment="1">
      <alignment horizontal="center" vertical="center" wrapText="1"/>
      <protection/>
    </xf>
    <xf numFmtId="3" fontId="31" fillId="0" borderId="11" xfId="77" applyNumberFormat="1" applyFont="1" applyBorder="1" applyAlignment="1">
      <alignment horizontal="center" vertical="center" wrapText="1"/>
      <protection/>
    </xf>
    <xf numFmtId="3" fontId="31" fillId="0" borderId="59" xfId="77" applyNumberFormat="1" applyFont="1" applyBorder="1" applyAlignment="1">
      <alignment horizontal="center" vertical="center" wrapText="1"/>
      <protection/>
    </xf>
    <xf numFmtId="3" fontId="40" fillId="0" borderId="12" xfId="77" applyNumberFormat="1" applyFont="1" applyBorder="1" applyAlignment="1">
      <alignment horizontal="center" vertical="center" wrapText="1"/>
      <protection/>
    </xf>
    <xf numFmtId="3" fontId="40" fillId="0" borderId="62" xfId="77" applyNumberFormat="1" applyFont="1" applyBorder="1" applyAlignment="1">
      <alignment horizontal="center" vertical="center" wrapText="1"/>
      <protection/>
    </xf>
    <xf numFmtId="3" fontId="31" fillId="40" borderId="12" xfId="77" applyNumberFormat="1" applyFont="1" applyFill="1" applyBorder="1" applyAlignment="1">
      <alignment horizontal="center" vertical="center" wrapText="1"/>
      <protection/>
    </xf>
    <xf numFmtId="3" fontId="31" fillId="40" borderId="62" xfId="77" applyNumberFormat="1" applyFont="1" applyFill="1" applyBorder="1" applyAlignment="1">
      <alignment horizontal="center" vertical="center" wrapText="1"/>
      <protection/>
    </xf>
    <xf numFmtId="3" fontId="43" fillId="40" borderId="58" xfId="77" applyNumberFormat="1" applyFont="1" applyFill="1" applyBorder="1" applyAlignment="1">
      <alignment horizontal="right" vertical="center"/>
      <protection/>
    </xf>
    <xf numFmtId="3" fontId="43" fillId="40" borderId="63" xfId="77" applyNumberFormat="1" applyFont="1" applyFill="1" applyBorder="1" applyAlignment="1">
      <alignment horizontal="right" vertical="center"/>
      <protection/>
    </xf>
    <xf numFmtId="3" fontId="43" fillId="40" borderId="47" xfId="77" applyNumberFormat="1" applyFont="1" applyFill="1" applyBorder="1" applyAlignment="1">
      <alignment horizontal="right" vertical="center"/>
      <protection/>
    </xf>
    <xf numFmtId="3" fontId="26" fillId="42" borderId="11" xfId="77" applyNumberFormat="1" applyFont="1" applyFill="1" applyBorder="1" applyAlignment="1">
      <alignment horizontal="right"/>
      <protection/>
    </xf>
    <xf numFmtId="3" fontId="26" fillId="0" borderId="11" xfId="77" applyNumberFormat="1" applyFont="1" applyFill="1" applyBorder="1" applyAlignment="1">
      <alignment horizontal="right"/>
      <protection/>
    </xf>
    <xf numFmtId="0" fontId="46" fillId="0" borderId="0" xfId="74" applyFont="1" applyAlignment="1">
      <alignment horizontal="center"/>
      <protection/>
    </xf>
    <xf numFmtId="0" fontId="46" fillId="0" borderId="11" xfId="74" applyFont="1" applyBorder="1" applyAlignment="1">
      <alignment horizontal="center" vertical="center" wrapText="1"/>
      <protection/>
    </xf>
    <xf numFmtId="0" fontId="46" fillId="0" borderId="0" xfId="71" applyFont="1" applyAlignment="1">
      <alignment horizontal="left"/>
      <protection/>
    </xf>
    <xf numFmtId="0" fontId="46" fillId="0" borderId="11" xfId="71" applyFont="1" applyBorder="1" applyAlignment="1">
      <alignment horizontal="center" vertical="center" wrapText="1"/>
      <protection/>
    </xf>
    <xf numFmtId="0" fontId="23" fillId="0" borderId="11" xfId="71" applyBorder="1">
      <alignment/>
      <protection/>
    </xf>
    <xf numFmtId="3" fontId="26" fillId="0" borderId="20" xfId="77" applyNumberFormat="1" applyFont="1" applyFill="1" applyBorder="1" applyAlignment="1">
      <alignment horizontal="center" vertical="center" wrapText="1"/>
      <protection/>
    </xf>
    <xf numFmtId="3" fontId="26" fillId="0" borderId="59" xfId="77" applyNumberFormat="1" applyFont="1" applyFill="1" applyBorder="1" applyAlignment="1">
      <alignment horizontal="center" vertical="center" wrapText="1"/>
      <protection/>
    </xf>
    <xf numFmtId="3" fontId="27" fillId="0" borderId="64" xfId="77" applyNumberFormat="1" applyFont="1" applyFill="1" applyBorder="1" applyAlignment="1">
      <alignment horizontal="center" vertical="center" wrapText="1"/>
      <protection/>
    </xf>
    <xf numFmtId="3" fontId="27" fillId="0" borderId="65" xfId="77" applyNumberFormat="1" applyFont="1" applyFill="1" applyBorder="1" applyAlignment="1">
      <alignment horizontal="center" vertical="center" wrapText="1"/>
      <protection/>
    </xf>
    <xf numFmtId="3" fontId="26" fillId="0" borderId="19" xfId="77" applyNumberFormat="1" applyFont="1" applyFill="1" applyBorder="1" applyAlignment="1">
      <alignment horizontal="center" vertical="center" wrapText="1"/>
      <protection/>
    </xf>
    <xf numFmtId="3" fontId="26" fillId="0" borderId="66" xfId="77" applyNumberFormat="1" applyFont="1" applyFill="1" applyBorder="1" applyAlignment="1">
      <alignment horizontal="center" vertical="center" wrapText="1"/>
      <protection/>
    </xf>
    <xf numFmtId="3" fontId="26" fillId="0" borderId="21" xfId="77" applyNumberFormat="1" applyFont="1" applyFill="1" applyBorder="1" applyAlignment="1">
      <alignment horizontal="center" vertical="center" wrapText="1"/>
      <protection/>
    </xf>
    <xf numFmtId="3" fontId="26" fillId="0" borderId="24" xfId="77" applyNumberFormat="1" applyFont="1" applyFill="1" applyBorder="1" applyAlignment="1">
      <alignment horizontal="center" vertical="center" wrapText="1"/>
      <protection/>
    </xf>
    <xf numFmtId="3" fontId="27" fillId="0" borderId="19" xfId="77" applyNumberFormat="1" applyFont="1" applyFill="1" applyBorder="1" applyAlignment="1">
      <alignment vertical="center"/>
      <protection/>
    </xf>
    <xf numFmtId="3" fontId="27" fillId="0" borderId="22" xfId="77" applyNumberFormat="1" applyFont="1" applyFill="1" applyBorder="1" applyAlignment="1">
      <alignment vertical="center"/>
      <protection/>
    </xf>
    <xf numFmtId="3" fontId="27" fillId="0" borderId="66" xfId="77" applyNumberFormat="1" applyFont="1" applyFill="1" applyBorder="1" applyAlignment="1">
      <alignment vertical="center"/>
      <protection/>
    </xf>
    <xf numFmtId="49" fontId="27" fillId="0" borderId="20" xfId="77" applyNumberFormat="1" applyFont="1" applyFill="1" applyBorder="1" applyAlignment="1">
      <alignment horizontal="center" vertical="center"/>
      <protection/>
    </xf>
    <xf numFmtId="49" fontId="27" fillId="0" borderId="11" xfId="77" applyNumberFormat="1" applyFont="1" applyFill="1" applyBorder="1" applyAlignment="1">
      <alignment horizontal="center" vertical="center"/>
      <protection/>
    </xf>
    <xf numFmtId="49" fontId="27" fillId="0" borderId="59" xfId="77" applyNumberFormat="1" applyFont="1" applyFill="1" applyBorder="1" applyAlignment="1">
      <alignment horizontal="center" vertical="center"/>
      <protection/>
    </xf>
    <xf numFmtId="3" fontId="27" fillId="0" borderId="20" xfId="77" applyNumberFormat="1" applyFont="1" applyFill="1" applyBorder="1" applyAlignment="1">
      <alignment vertical="center" wrapText="1"/>
      <protection/>
    </xf>
    <xf numFmtId="3" fontId="27" fillId="0" borderId="11" xfId="77" applyNumberFormat="1" applyFont="1" applyFill="1" applyBorder="1" applyAlignment="1">
      <alignment vertical="center" wrapText="1"/>
      <protection/>
    </xf>
    <xf numFmtId="3" fontId="27" fillId="0" borderId="59" xfId="77" applyNumberFormat="1" applyFont="1" applyFill="1" applyBorder="1" applyAlignment="1">
      <alignment vertical="center" wrapText="1"/>
      <protection/>
    </xf>
    <xf numFmtId="3" fontId="27" fillId="0" borderId="21" xfId="77" applyNumberFormat="1" applyFont="1" applyFill="1" applyBorder="1" applyAlignment="1">
      <alignment horizontal="left" vertical="center" wrapText="1"/>
      <protection/>
    </xf>
    <xf numFmtId="3" fontId="27" fillId="0" borderId="23" xfId="77" applyNumberFormat="1" applyFont="1" applyFill="1" applyBorder="1" applyAlignment="1">
      <alignment horizontal="left" vertical="center" wrapText="1"/>
      <protection/>
    </xf>
    <xf numFmtId="3" fontId="27" fillId="0" borderId="24" xfId="77" applyNumberFormat="1" applyFont="1" applyFill="1" applyBorder="1" applyAlignment="1">
      <alignment horizontal="left" vertical="center" wrapText="1"/>
      <protection/>
    </xf>
    <xf numFmtId="0" fontId="90" fillId="0" borderId="21" xfId="70" applyFont="1" applyFill="1" applyBorder="1" applyAlignment="1">
      <alignment vertical="center" wrapText="1"/>
      <protection/>
    </xf>
    <xf numFmtId="0" fontId="90" fillId="0" borderId="23" xfId="70" applyFont="1" applyFill="1" applyBorder="1" applyAlignment="1">
      <alignment vertical="center" wrapText="1"/>
      <protection/>
    </xf>
    <xf numFmtId="0" fontId="90" fillId="0" borderId="24" xfId="70" applyFont="1" applyFill="1" applyBorder="1" applyAlignment="1">
      <alignment vertical="center" wrapText="1"/>
      <protection/>
    </xf>
    <xf numFmtId="0" fontId="94" fillId="0" borderId="21" xfId="70" applyFont="1" applyFill="1" applyBorder="1" applyAlignment="1">
      <alignment vertical="center" wrapText="1"/>
      <protection/>
    </xf>
    <xf numFmtId="0" fontId="94" fillId="0" borderId="23" xfId="70" applyFont="1" applyFill="1" applyBorder="1" applyAlignment="1">
      <alignment vertical="center" wrapText="1"/>
      <protection/>
    </xf>
    <xf numFmtId="0" fontId="94" fillId="0" borderId="24" xfId="70" applyFont="1" applyFill="1" applyBorder="1" applyAlignment="1">
      <alignment vertical="center" wrapText="1"/>
      <protection/>
    </xf>
    <xf numFmtId="49" fontId="27" fillId="0" borderId="20" xfId="47" applyNumberFormat="1" applyFont="1" applyFill="1" applyBorder="1" applyAlignment="1">
      <alignment horizontal="center" vertical="center" wrapText="1"/>
    </xf>
    <xf numFmtId="49" fontId="27" fillId="0" borderId="11" xfId="47" applyNumberFormat="1" applyFont="1" applyFill="1" applyBorder="1" applyAlignment="1">
      <alignment horizontal="center" vertical="center" wrapText="1"/>
    </xf>
    <xf numFmtId="49" fontId="27" fillId="0" borderId="59" xfId="47" applyNumberFormat="1" applyFont="1" applyFill="1" applyBorder="1" applyAlignment="1">
      <alignment horizontal="center" vertical="center" wrapText="1"/>
    </xf>
    <xf numFmtId="0" fontId="27" fillId="0" borderId="20" xfId="68" applyFont="1" applyFill="1" applyBorder="1" applyAlignment="1">
      <alignment vertical="center" wrapText="1"/>
      <protection/>
    </xf>
    <xf numFmtId="0" fontId="27" fillId="0" borderId="11" xfId="68" applyFont="1" applyFill="1" applyBorder="1" applyAlignment="1">
      <alignment vertical="center" wrapText="1"/>
      <protection/>
    </xf>
    <xf numFmtId="0" fontId="27" fillId="0" borderId="59" xfId="68" applyFont="1" applyFill="1" applyBorder="1" applyAlignment="1">
      <alignment vertical="center" wrapText="1"/>
      <protection/>
    </xf>
    <xf numFmtId="3" fontId="27" fillId="0" borderId="67" xfId="77" applyNumberFormat="1" applyFont="1" applyFill="1" applyBorder="1" applyAlignment="1">
      <alignment vertical="center"/>
      <protection/>
    </xf>
    <xf numFmtId="49" fontId="27" fillId="0" borderId="13" xfId="77" applyNumberFormat="1" applyFont="1" applyFill="1" applyBorder="1" applyAlignment="1">
      <alignment horizontal="center" vertical="center"/>
      <protection/>
    </xf>
    <xf numFmtId="3" fontId="27" fillId="0" borderId="13" xfId="77" applyNumberFormat="1" applyFont="1" applyFill="1" applyBorder="1" applyAlignment="1">
      <alignment vertical="center" wrapText="1"/>
      <protection/>
    </xf>
    <xf numFmtId="3" fontId="27" fillId="0" borderId="68" xfId="77" applyNumberFormat="1" applyFont="1" applyFill="1" applyBorder="1" applyAlignment="1">
      <alignment horizontal="left" vertical="center" wrapText="1"/>
      <protection/>
    </xf>
    <xf numFmtId="3" fontId="26" fillId="0" borderId="61" xfId="77" applyNumberFormat="1" applyFont="1" applyFill="1" applyBorder="1" applyAlignment="1">
      <alignment horizontal="center" vertical="center" wrapText="1"/>
      <protection/>
    </xf>
    <xf numFmtId="3" fontId="26" fillId="0" borderId="69" xfId="77" applyNumberFormat="1" applyFont="1" applyFill="1" applyBorder="1" applyAlignment="1">
      <alignment horizontal="center" vertical="center" wrapText="1"/>
      <protection/>
    </xf>
    <xf numFmtId="49" fontId="27" fillId="0" borderId="20" xfId="77" applyNumberFormat="1" applyFont="1" applyFill="1" applyBorder="1" applyAlignment="1">
      <alignment horizontal="center" vertical="center" wrapText="1"/>
      <protection/>
    </xf>
    <xf numFmtId="3" fontId="27" fillId="0" borderId="16" xfId="77" applyNumberFormat="1" applyFont="1" applyFill="1" applyBorder="1" applyAlignment="1">
      <alignment horizontal="left" vertical="center" wrapText="1"/>
      <protection/>
    </xf>
    <xf numFmtId="0" fontId="27" fillId="43" borderId="11" xfId="70" applyFont="1" applyFill="1" applyBorder="1" applyAlignment="1">
      <alignment horizontal="left" vertical="center" wrapText="1"/>
      <protection/>
    </xf>
    <xf numFmtId="0" fontId="14" fillId="0" borderId="0" xfId="66" applyFont="1" applyAlignment="1">
      <alignment horizontal="center"/>
      <protection/>
    </xf>
    <xf numFmtId="0" fontId="12" fillId="1" borderId="11" xfId="66" applyFont="1" applyFill="1" applyBorder="1" applyAlignment="1">
      <alignment horizontal="center" wrapText="1"/>
      <protection/>
    </xf>
    <xf numFmtId="0" fontId="12" fillId="1" borderId="11" xfId="66" applyFont="1" applyFill="1" applyBorder="1" applyAlignment="1">
      <alignment horizontal="center" vertical="center"/>
      <protection/>
    </xf>
    <xf numFmtId="0" fontId="12" fillId="1" borderId="11" xfId="66" applyFont="1" applyFill="1" applyBorder="1" applyAlignment="1">
      <alignment horizontal="center" vertical="center" wrapText="1"/>
      <protection/>
    </xf>
    <xf numFmtId="0" fontId="12" fillId="1" borderId="11" xfId="66" applyNumberFormat="1" applyFont="1" applyFill="1" applyBorder="1" applyAlignment="1">
      <alignment horizontal="center" wrapText="1"/>
      <protection/>
    </xf>
    <xf numFmtId="0" fontId="12" fillId="0" borderId="58" xfId="66" applyFont="1" applyBorder="1" applyAlignment="1">
      <alignment horizontal="left"/>
      <protection/>
    </xf>
    <xf numFmtId="0" fontId="12" fillId="0" borderId="63" xfId="66" applyFont="1" applyBorder="1" applyAlignment="1">
      <alignment horizontal="left"/>
      <protection/>
    </xf>
    <xf numFmtId="0" fontId="12" fillId="0" borderId="47" xfId="66" applyFont="1" applyBorder="1" applyAlignment="1">
      <alignment horizontal="left"/>
      <protection/>
    </xf>
    <xf numFmtId="0" fontId="12" fillId="0" borderId="12" xfId="66" applyFont="1" applyBorder="1" applyAlignment="1">
      <alignment wrapText="1"/>
      <protection/>
    </xf>
    <xf numFmtId="0" fontId="0" fillId="0" borderId="12" xfId="66" applyBorder="1" applyAlignment="1">
      <alignment wrapText="1"/>
      <protection/>
    </xf>
    <xf numFmtId="0" fontId="0" fillId="0" borderId="13" xfId="66" applyBorder="1" applyAlignment="1">
      <alignment wrapText="1"/>
      <protection/>
    </xf>
    <xf numFmtId="0" fontId="12" fillId="0" borderId="12" xfId="66" applyFont="1" applyBorder="1" applyAlignment="1">
      <alignment horizontal="center"/>
      <protection/>
    </xf>
    <xf numFmtId="0" fontId="12" fillId="0" borderId="13" xfId="66" applyFont="1" applyBorder="1" applyAlignment="1">
      <alignment horizontal="center"/>
      <protection/>
    </xf>
    <xf numFmtId="0" fontId="12" fillId="0" borderId="11" xfId="66" applyFont="1" applyBorder="1" applyAlignment="1">
      <alignment horizontal="left"/>
      <protection/>
    </xf>
    <xf numFmtId="0" fontId="12" fillId="0" borderId="11" xfId="66" applyFont="1" applyBorder="1" applyAlignment="1">
      <alignment horizontal="center"/>
      <protection/>
    </xf>
    <xf numFmtId="0" fontId="12" fillId="0" borderId="58" xfId="0" applyFont="1" applyBorder="1" applyAlignment="1">
      <alignment horizontal="center"/>
    </xf>
    <xf numFmtId="0" fontId="12" fillId="0" borderId="63" xfId="0" applyFont="1" applyBorder="1" applyAlignment="1">
      <alignment horizontal="center"/>
    </xf>
    <xf numFmtId="0" fontId="12" fillId="0" borderId="47" xfId="0" applyFont="1" applyBorder="1" applyAlignment="1">
      <alignment horizontal="center"/>
    </xf>
    <xf numFmtId="3" fontId="12" fillId="0" borderId="58" xfId="0" applyNumberFormat="1" applyFont="1" applyBorder="1" applyAlignment="1">
      <alignment horizontal="center"/>
    </xf>
    <xf numFmtId="3" fontId="12" fillId="0" borderId="63" xfId="0" applyNumberFormat="1" applyFont="1" applyBorder="1" applyAlignment="1">
      <alignment horizontal="center"/>
    </xf>
    <xf numFmtId="3" fontId="12" fillId="0" borderId="47" xfId="0" applyNumberFormat="1" applyFont="1" applyBorder="1" applyAlignment="1">
      <alignment horizontal="center"/>
    </xf>
    <xf numFmtId="0" fontId="14" fillId="0" borderId="0" xfId="0" applyFont="1" applyAlignment="1">
      <alignment horizontal="center"/>
    </xf>
    <xf numFmtId="0" fontId="13" fillId="0" borderId="0" xfId="0" applyFont="1" applyAlignment="1">
      <alignment horizontal="center"/>
    </xf>
    <xf numFmtId="0" fontId="13" fillId="45" borderId="11" xfId="0" applyFont="1" applyFill="1" applyBorder="1" applyAlignment="1">
      <alignment horizontal="center" vertical="top" wrapText="1"/>
    </xf>
    <xf numFmtId="0" fontId="12" fillId="45" borderId="11" xfId="0" applyFont="1" applyFill="1" applyBorder="1" applyAlignment="1">
      <alignment horizontal="center" wrapText="1"/>
    </xf>
    <xf numFmtId="0" fontId="12" fillId="45" borderId="11" xfId="0" applyFont="1" applyFill="1" applyBorder="1" applyAlignment="1">
      <alignment horizontal="center" vertical="center" wrapText="1"/>
    </xf>
    <xf numFmtId="0" fontId="12" fillId="0" borderId="0" xfId="0" applyFont="1" applyAlignment="1">
      <alignment horizontal="left"/>
    </xf>
    <xf numFmtId="0" fontId="22" fillId="0" borderId="0" xfId="0" applyFont="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xf>
    <xf numFmtId="0" fontId="13" fillId="0" borderId="11" xfId="0" applyFont="1" applyBorder="1" applyAlignment="1">
      <alignment horizontal="center" vertical="top" wrapText="1"/>
    </xf>
    <xf numFmtId="0" fontId="12" fillId="0" borderId="11" xfId="0" applyFont="1" applyBorder="1" applyAlignment="1">
      <alignment horizontal="center" vertical="top" wrapText="1"/>
    </xf>
    <xf numFmtId="0" fontId="13" fillId="0" borderId="11" xfId="0" applyFont="1" applyBorder="1" applyAlignment="1">
      <alignment horizontal="left" vertical="top" wrapText="1"/>
    </xf>
    <xf numFmtId="0" fontId="12" fillId="0" borderId="11" xfId="0" applyFont="1" applyBorder="1" applyAlignment="1">
      <alignment vertical="top" wrapText="1"/>
    </xf>
    <xf numFmtId="0" fontId="12" fillId="0" borderId="64"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65" xfId="0" applyFont="1" applyBorder="1" applyAlignment="1">
      <alignment horizontal="center" vertical="top" wrapText="1"/>
    </xf>
    <xf numFmtId="0" fontId="12" fillId="0" borderId="70" xfId="0" applyFont="1" applyBorder="1" applyAlignment="1">
      <alignment horizontal="center" vertical="top" wrapText="1"/>
    </xf>
    <xf numFmtId="0" fontId="12" fillId="0" borderId="18" xfId="0" applyFont="1" applyBorder="1" applyAlignment="1">
      <alignment horizontal="center" vertical="top"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5" xfId="0" applyFont="1" applyBorder="1" applyAlignment="1">
      <alignment horizontal="center" vertical="center" wrapText="1"/>
    </xf>
    <xf numFmtId="0" fontId="17" fillId="0" borderId="0" xfId="0" applyFont="1" applyAlignment="1">
      <alignment horizontal="right"/>
    </xf>
    <xf numFmtId="0" fontId="26" fillId="0" borderId="0" xfId="75" applyFont="1" applyAlignment="1">
      <alignment horizontal="center" wrapText="1"/>
      <protection/>
    </xf>
    <xf numFmtId="49" fontId="26" fillId="0" borderId="0" xfId="75" applyNumberFormat="1" applyFont="1" applyBorder="1" applyAlignment="1">
      <alignment horizontal="center"/>
      <protection/>
    </xf>
    <xf numFmtId="49" fontId="26" fillId="35" borderId="71" xfId="75" applyNumberFormat="1" applyFont="1" applyFill="1" applyBorder="1" applyAlignment="1">
      <alignment horizontal="center" wrapText="1"/>
      <protection/>
    </xf>
    <xf numFmtId="49" fontId="26" fillId="35" borderId="72" xfId="75" applyNumberFormat="1" applyFont="1" applyFill="1" applyBorder="1" applyAlignment="1">
      <alignment horizontal="center" wrapText="1"/>
      <protection/>
    </xf>
    <xf numFmtId="0" fontId="26" fillId="18" borderId="73" xfId="75" applyFont="1" applyFill="1" applyBorder="1" applyAlignment="1">
      <alignment horizontal="center" wrapText="1"/>
      <protection/>
    </xf>
    <xf numFmtId="0" fontId="26" fillId="18" borderId="74" xfId="75" applyFont="1" applyFill="1" applyBorder="1" applyAlignment="1">
      <alignment horizontal="center" wrapText="1"/>
      <protection/>
    </xf>
    <xf numFmtId="0" fontId="18" fillId="0" borderId="0" xfId="0" applyFont="1" applyAlignment="1">
      <alignment horizontal="center"/>
    </xf>
    <xf numFmtId="0" fontId="22" fillId="0" borderId="0" xfId="0" applyFont="1" applyAlignment="1">
      <alignment horizontal="center" wrapText="1"/>
    </xf>
    <xf numFmtId="0" fontId="16" fillId="0" borderId="0" xfId="0" applyFont="1" applyAlignment="1">
      <alignment horizontal="center"/>
    </xf>
    <xf numFmtId="3" fontId="28" fillId="3" borderId="58" xfId="75" applyNumberFormat="1" applyFont="1" applyFill="1" applyBorder="1" applyAlignment="1">
      <alignment horizontal="center" vertical="center"/>
      <protection/>
    </xf>
    <xf numFmtId="3" fontId="28" fillId="3" borderId="47" xfId="75" applyNumberFormat="1" applyFont="1" applyFill="1" applyBorder="1" applyAlignment="1">
      <alignment horizontal="center" vertical="center"/>
      <protection/>
    </xf>
    <xf numFmtId="3" fontId="28" fillId="18" borderId="11" xfId="75" applyNumberFormat="1" applyFont="1" applyFill="1" applyBorder="1" applyAlignment="1">
      <alignment horizontal="center" vertical="center"/>
      <protection/>
    </xf>
    <xf numFmtId="3" fontId="28" fillId="3" borderId="11" xfId="75" applyNumberFormat="1" applyFont="1" applyFill="1" applyBorder="1" applyAlignment="1">
      <alignment horizontal="left" vertical="center"/>
      <protection/>
    </xf>
    <xf numFmtId="3" fontId="28" fillId="0" borderId="0" xfId="75" applyNumberFormat="1" applyFont="1" applyFill="1" applyAlignment="1">
      <alignment horizontal="center" vertical="center" wrapText="1"/>
      <protection/>
    </xf>
    <xf numFmtId="3" fontId="28" fillId="41" borderId="58" xfId="75" applyNumberFormat="1" applyFont="1" applyFill="1" applyBorder="1" applyAlignment="1">
      <alignment horizontal="center" vertical="center" wrapText="1"/>
      <protection/>
    </xf>
    <xf numFmtId="3" fontId="28" fillId="41" borderId="63" xfId="75" applyNumberFormat="1" applyFont="1" applyFill="1" applyBorder="1" applyAlignment="1">
      <alignment horizontal="center" vertical="center" wrapText="1"/>
      <protection/>
    </xf>
    <xf numFmtId="3" fontId="28" fillId="41" borderId="47" xfId="75" applyNumberFormat="1" applyFont="1" applyFill="1" applyBorder="1" applyAlignment="1">
      <alignment horizontal="center" vertical="center" wrapText="1"/>
      <protection/>
    </xf>
    <xf numFmtId="0" fontId="18" fillId="35" borderId="66" xfId="75" applyFont="1" applyFill="1" applyBorder="1" applyAlignment="1">
      <alignment horizontal="center"/>
      <protection/>
    </xf>
    <xf numFmtId="0" fontId="18" fillId="35" borderId="59" xfId="75" applyFont="1" applyFill="1" applyBorder="1" applyAlignment="1">
      <alignment horizontal="center"/>
      <protection/>
    </xf>
    <xf numFmtId="0" fontId="18" fillId="35" borderId="22" xfId="75" applyFont="1" applyFill="1" applyBorder="1" applyAlignment="1">
      <alignment horizontal="center"/>
      <protection/>
    </xf>
    <xf numFmtId="0" fontId="18" fillId="35" borderId="11" xfId="75" applyFont="1" applyFill="1" applyBorder="1" applyAlignment="1">
      <alignment horizontal="center"/>
      <protection/>
    </xf>
    <xf numFmtId="0" fontId="18" fillId="38" borderId="66" xfId="75" applyFont="1" applyFill="1" applyBorder="1" applyAlignment="1">
      <alignment horizontal="center" wrapText="1"/>
      <protection/>
    </xf>
    <xf numFmtId="0" fontId="18" fillId="38" borderId="59" xfId="75" applyFont="1" applyFill="1" applyBorder="1" applyAlignment="1">
      <alignment horizontal="center" wrapText="1"/>
      <protection/>
    </xf>
    <xf numFmtId="0" fontId="22" fillId="0" borderId="0" xfId="0" applyFont="1" applyAlignment="1">
      <alignment horizontal="center"/>
    </xf>
    <xf numFmtId="0" fontId="26" fillId="0" borderId="75" xfId="75" applyFont="1" applyBorder="1" applyAlignment="1">
      <alignment horizontal="right" wrapText="1"/>
      <protection/>
    </xf>
    <xf numFmtId="0" fontId="25" fillId="0" borderId="75" xfId="75" applyBorder="1" applyAlignment="1">
      <alignment horizontal="right"/>
      <protection/>
    </xf>
    <xf numFmtId="0" fontId="18" fillId="0" borderId="51" xfId="75" applyFont="1" applyBorder="1" applyAlignment="1">
      <alignment horizontal="center" wrapText="1"/>
      <protection/>
    </xf>
    <xf numFmtId="0" fontId="18" fillId="0" borderId="76" xfId="75" applyFont="1" applyBorder="1" applyAlignment="1">
      <alignment horizontal="center" wrapText="1"/>
      <protection/>
    </xf>
    <xf numFmtId="0" fontId="18" fillId="0" borderId="77" xfId="75" applyFont="1" applyBorder="1" applyAlignment="1">
      <alignment horizontal="center" wrapText="1"/>
      <protection/>
    </xf>
    <xf numFmtId="0" fontId="22" fillId="35" borderId="66" xfId="75" applyFont="1" applyFill="1" applyBorder="1" applyAlignment="1">
      <alignment horizontal="center"/>
      <protection/>
    </xf>
    <xf numFmtId="0" fontId="22" fillId="35" borderId="59" xfId="75" applyFont="1" applyFill="1" applyBorder="1" applyAlignment="1">
      <alignment horizontal="center"/>
      <protection/>
    </xf>
    <xf numFmtId="3" fontId="36" fillId="44" borderId="11" xfId="75" applyNumberFormat="1" applyFont="1" applyFill="1" applyBorder="1" applyAlignment="1">
      <alignment horizontal="center" vertical="center"/>
      <protection/>
    </xf>
    <xf numFmtId="3" fontId="36" fillId="3" borderId="58" xfId="75" applyNumberFormat="1" applyFont="1" applyFill="1" applyBorder="1" applyAlignment="1">
      <alignment horizontal="center" vertical="center"/>
      <protection/>
    </xf>
    <xf numFmtId="3" fontId="36" fillId="3" borderId="47" xfId="75" applyNumberFormat="1" applyFont="1" applyFill="1" applyBorder="1" applyAlignment="1">
      <alignment horizontal="center" vertical="center"/>
      <protection/>
    </xf>
    <xf numFmtId="0" fontId="18" fillId="0" borderId="11" xfId="0" applyFont="1" applyBorder="1" applyAlignment="1">
      <alignment horizontal="center" vertical="top" wrapText="1"/>
    </xf>
    <xf numFmtId="0" fontId="18" fillId="0" borderId="12"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64"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0" fontId="14" fillId="0" borderId="0" xfId="80" applyFont="1" applyAlignment="1">
      <alignment horizontal="center"/>
      <protection/>
    </xf>
    <xf numFmtId="0" fontId="11" fillId="0" borderId="78" xfId="80" applyFont="1" applyBorder="1" applyAlignment="1">
      <alignment horizontal="center" wrapText="1"/>
      <protection/>
    </xf>
    <xf numFmtId="0" fontId="11" fillId="0" borderId="49" xfId="80" applyBorder="1" applyAlignment="1">
      <alignment horizontal="center" wrapText="1"/>
      <protection/>
    </xf>
    <xf numFmtId="0" fontId="11" fillId="0" borderId="54" xfId="80" applyBorder="1" applyAlignment="1">
      <alignment horizontal="center" wrapText="1"/>
      <protection/>
    </xf>
    <xf numFmtId="0" fontId="11" fillId="0" borderId="79" xfId="80" applyFont="1" applyBorder="1" applyAlignment="1">
      <alignment horizontal="center" vertical="center" wrapText="1"/>
      <protection/>
    </xf>
    <xf numFmtId="0" fontId="11" fillId="0" borderId="80" xfId="80" applyBorder="1" applyAlignment="1">
      <alignment horizontal="center" vertical="center" wrapText="1"/>
      <protection/>
    </xf>
    <xf numFmtId="0" fontId="11" fillId="0" borderId="81" xfId="80" applyBorder="1" applyAlignment="1">
      <alignment horizontal="center" vertical="center" wrapText="1"/>
      <protection/>
    </xf>
    <xf numFmtId="0" fontId="11" fillId="0" borderId="82" xfId="80" applyBorder="1" applyAlignment="1">
      <alignment horizontal="center" vertical="center" wrapText="1"/>
      <protection/>
    </xf>
    <xf numFmtId="0" fontId="11" fillId="0" borderId="36" xfId="80" applyBorder="1" applyAlignment="1">
      <alignment horizontal="center" vertical="center" wrapText="1"/>
      <protection/>
    </xf>
    <xf numFmtId="0" fontId="11" fillId="0" borderId="83" xfId="80" applyBorder="1" applyAlignment="1">
      <alignment horizontal="center" vertical="center" wrapText="1"/>
      <protection/>
    </xf>
    <xf numFmtId="0" fontId="11" fillId="0" borderId="76" xfId="80" applyFont="1" applyBorder="1" applyAlignment="1">
      <alignment horizontal="center"/>
      <protection/>
    </xf>
    <xf numFmtId="0" fontId="11" fillId="0" borderId="76" xfId="80" applyBorder="1" applyAlignment="1">
      <alignment horizontal="center"/>
      <protection/>
    </xf>
    <xf numFmtId="0" fontId="11" fillId="0" borderId="77" xfId="80" applyBorder="1" applyAlignment="1">
      <alignment horizontal="center"/>
      <protection/>
    </xf>
    <xf numFmtId="0" fontId="11" fillId="0" borderId="51" xfId="80" applyFont="1" applyBorder="1" applyAlignment="1">
      <alignment horizontal="center"/>
      <protection/>
    </xf>
    <xf numFmtId="0" fontId="11" fillId="0" borderId="84" xfId="80" applyFont="1" applyBorder="1" applyAlignment="1">
      <alignment horizontal="center" vertical="center"/>
      <protection/>
    </xf>
    <xf numFmtId="0" fontId="11" fillId="0" borderId="14" xfId="80" applyBorder="1" applyAlignment="1">
      <alignment horizontal="center" vertical="center"/>
      <protection/>
    </xf>
    <xf numFmtId="0" fontId="11" fillId="0" borderId="15" xfId="80" applyBorder="1" applyAlignment="1">
      <alignment horizontal="center" vertical="center"/>
      <protection/>
    </xf>
    <xf numFmtId="0" fontId="11" fillId="0" borderId="55" xfId="80" applyBorder="1" applyAlignment="1">
      <alignment horizontal="center" vertical="center"/>
      <protection/>
    </xf>
    <xf numFmtId="0" fontId="11" fillId="0" borderId="70" xfId="80" applyBorder="1" applyAlignment="1">
      <alignment horizontal="center" vertical="center"/>
      <protection/>
    </xf>
    <xf numFmtId="0" fontId="11" fillId="0" borderId="18" xfId="80" applyBorder="1" applyAlignment="1">
      <alignment horizontal="center" vertical="center"/>
      <protection/>
    </xf>
    <xf numFmtId="0" fontId="11" fillId="0" borderId="64" xfId="80" applyFont="1" applyBorder="1" applyAlignment="1">
      <alignment horizontal="center" vertical="center"/>
      <protection/>
    </xf>
    <xf numFmtId="0" fontId="11" fillId="0" borderId="85" xfId="80" applyBorder="1" applyAlignment="1">
      <alignment horizontal="center" vertical="center"/>
      <protection/>
    </xf>
    <xf numFmtId="0" fontId="11" fillId="0" borderId="65" xfId="80" applyBorder="1" applyAlignment="1">
      <alignment horizontal="center" vertical="center"/>
      <protection/>
    </xf>
    <xf numFmtId="0" fontId="11" fillId="0" borderId="86" xfId="80" applyBorder="1" applyAlignment="1">
      <alignment horizontal="center" vertical="center"/>
      <protection/>
    </xf>
    <xf numFmtId="0" fontId="11" fillId="0" borderId="84" xfId="80" applyFont="1" applyBorder="1" applyAlignment="1">
      <alignment horizontal="center" vertical="center" wrapText="1"/>
      <protection/>
    </xf>
    <xf numFmtId="0" fontId="11" fillId="0" borderId="14" xfId="80" applyFont="1" applyBorder="1" applyAlignment="1">
      <alignment horizontal="center" vertical="center" wrapText="1"/>
      <protection/>
    </xf>
    <xf numFmtId="0" fontId="11" fillId="0" borderId="15" xfId="80" applyFont="1" applyBorder="1" applyAlignment="1">
      <alignment horizontal="center" vertical="center" wrapText="1"/>
      <protection/>
    </xf>
    <xf numFmtId="0" fontId="11" fillId="0" borderId="55" xfId="80" applyFont="1" applyBorder="1" applyAlignment="1">
      <alignment horizontal="center" vertical="center" wrapText="1"/>
      <protection/>
    </xf>
    <xf numFmtId="0" fontId="11" fillId="0" borderId="70" xfId="80" applyFont="1" applyBorder="1" applyAlignment="1">
      <alignment horizontal="center" vertical="center" wrapText="1"/>
      <protection/>
    </xf>
    <xf numFmtId="0" fontId="11" fillId="0" borderId="18" xfId="80" applyFont="1" applyBorder="1" applyAlignment="1">
      <alignment horizontal="center" vertical="center" wrapText="1"/>
      <protection/>
    </xf>
    <xf numFmtId="0" fontId="11" fillId="0" borderId="64" xfId="80" applyFont="1" applyBorder="1" applyAlignment="1">
      <alignment horizontal="center" vertical="center" wrapText="1"/>
      <protection/>
    </xf>
    <xf numFmtId="0" fontId="11" fillId="0" borderId="85" xfId="80" applyFont="1" applyBorder="1" applyAlignment="1">
      <alignment horizontal="center" vertical="center" wrapText="1"/>
      <protection/>
    </xf>
    <xf numFmtId="0" fontId="11" fillId="0" borderId="65" xfId="80" applyFont="1" applyBorder="1" applyAlignment="1">
      <alignment horizontal="center" vertical="center" wrapText="1"/>
      <protection/>
    </xf>
    <xf numFmtId="0" fontId="11" fillId="0" borderId="86" xfId="80" applyFont="1" applyBorder="1" applyAlignment="1">
      <alignment horizontal="center" vertical="center" wrapText="1"/>
      <protection/>
    </xf>
    <xf numFmtId="3" fontId="11" fillId="0" borderId="79" xfId="80" applyNumberFormat="1" applyBorder="1" applyAlignment="1">
      <alignment horizontal="center" vertical="center" wrapText="1"/>
      <protection/>
    </xf>
    <xf numFmtId="3" fontId="11" fillId="0" borderId="81" xfId="80" applyNumberFormat="1" applyBorder="1" applyAlignment="1">
      <alignment horizontal="center" vertical="center" wrapText="1"/>
      <protection/>
    </xf>
    <xf numFmtId="49" fontId="39" fillId="0" borderId="87" xfId="80" applyNumberFormat="1" applyFont="1" applyBorder="1" applyAlignment="1">
      <alignment horizontal="center" vertical="center"/>
      <protection/>
    </xf>
    <xf numFmtId="49" fontId="11" fillId="0" borderId="88" xfId="80" applyNumberFormat="1" applyBorder="1" applyAlignment="1">
      <alignment horizontal="center" vertical="center"/>
      <protection/>
    </xf>
    <xf numFmtId="3" fontId="11" fillId="0" borderId="19" xfId="80" applyNumberFormat="1" applyBorder="1" applyAlignment="1">
      <alignment horizontal="center" vertical="center"/>
      <protection/>
    </xf>
    <xf numFmtId="3" fontId="11" fillId="0" borderId="66" xfId="80" applyNumberFormat="1" applyBorder="1" applyAlignment="1">
      <alignment horizontal="center" vertical="center"/>
      <protection/>
    </xf>
    <xf numFmtId="49" fontId="39" fillId="0" borderId="20" xfId="80" applyNumberFormat="1" applyFont="1" applyBorder="1" applyAlignment="1">
      <alignment horizontal="center" vertical="center"/>
      <protection/>
    </xf>
    <xf numFmtId="49" fontId="11" fillId="0" borderId="59" xfId="80" applyNumberFormat="1" applyBorder="1" applyAlignment="1">
      <alignment horizontal="center" vertical="center"/>
      <protection/>
    </xf>
    <xf numFmtId="3" fontId="11" fillId="0" borderId="61" xfId="80" applyNumberFormat="1" applyBorder="1" applyAlignment="1">
      <alignment horizontal="center" vertical="center"/>
      <protection/>
    </xf>
    <xf numFmtId="3" fontId="11" fillId="0" borderId="60" xfId="80" applyNumberFormat="1" applyBorder="1" applyAlignment="1">
      <alignment horizontal="center" vertical="center"/>
      <protection/>
    </xf>
    <xf numFmtId="3" fontId="11" fillId="0" borderId="21" xfId="80" applyNumberFormat="1" applyBorder="1" applyAlignment="1">
      <alignment horizontal="center" vertical="center"/>
      <protection/>
    </xf>
    <xf numFmtId="3" fontId="11" fillId="0" borderId="24" xfId="80" applyNumberFormat="1" applyBorder="1" applyAlignment="1">
      <alignment horizontal="center" vertical="center"/>
      <protection/>
    </xf>
    <xf numFmtId="3" fontId="11" fillId="0" borderId="89" xfId="80" applyNumberFormat="1" applyBorder="1" applyAlignment="1">
      <alignment horizontal="center" vertical="center"/>
      <protection/>
    </xf>
    <xf numFmtId="3" fontId="11" fillId="0" borderId="75" xfId="80" applyNumberFormat="1" applyBorder="1" applyAlignment="1">
      <alignment horizontal="center" vertical="center"/>
      <protection/>
    </xf>
    <xf numFmtId="3" fontId="11" fillId="0" borderId="20" xfId="80" applyNumberFormat="1" applyBorder="1" applyAlignment="1">
      <alignment horizontal="center" vertical="center"/>
      <protection/>
    </xf>
    <xf numFmtId="3" fontId="11" fillId="0" borderId="59" xfId="80" applyNumberFormat="1" applyBorder="1" applyAlignment="1">
      <alignment horizontal="center" vertical="center"/>
      <protection/>
    </xf>
    <xf numFmtId="49" fontId="39" fillId="0" borderId="90" xfId="80" applyNumberFormat="1" applyFont="1" applyBorder="1" applyAlignment="1">
      <alignment horizontal="center" vertical="center"/>
      <protection/>
    </xf>
    <xf numFmtId="49" fontId="11" fillId="0" borderId="91" xfId="80" applyNumberFormat="1" applyBorder="1" applyAlignment="1">
      <alignment horizontal="center" vertical="center"/>
      <protection/>
    </xf>
    <xf numFmtId="3" fontId="11" fillId="0" borderId="34" xfId="80" applyNumberFormat="1" applyBorder="1" applyAlignment="1">
      <alignment horizontal="center" vertical="center"/>
      <protection/>
    </xf>
    <xf numFmtId="49" fontId="39" fillId="0" borderId="19" xfId="80" applyNumberFormat="1" applyFont="1" applyBorder="1" applyAlignment="1">
      <alignment horizontal="center" vertical="center"/>
      <protection/>
    </xf>
    <xf numFmtId="49" fontId="11" fillId="0" borderId="66" xfId="80" applyNumberFormat="1" applyBorder="1" applyAlignment="1">
      <alignment horizontal="center" vertical="center"/>
      <protection/>
    </xf>
    <xf numFmtId="49" fontId="39" fillId="0" borderId="61" xfId="80" applyNumberFormat="1" applyFont="1" applyBorder="1" applyAlignment="1">
      <alignment horizontal="center" vertical="center"/>
      <protection/>
    </xf>
    <xf numFmtId="49" fontId="11" fillId="0" borderId="60" xfId="80" applyNumberFormat="1" applyBorder="1" applyAlignment="1">
      <alignment horizontal="center" vertical="center"/>
      <protection/>
    </xf>
    <xf numFmtId="49" fontId="39" fillId="0" borderId="21" xfId="80" applyNumberFormat="1" applyFont="1" applyBorder="1" applyAlignment="1">
      <alignment horizontal="center" vertical="center"/>
      <protection/>
    </xf>
    <xf numFmtId="49" fontId="11" fillId="0" borderId="24" xfId="80" applyNumberFormat="1" applyBorder="1" applyAlignment="1">
      <alignment horizontal="center" vertical="center"/>
      <protection/>
    </xf>
    <xf numFmtId="3" fontId="11" fillId="0" borderId="92" xfId="80" applyNumberFormat="1" applyBorder="1" applyAlignment="1">
      <alignment horizontal="center" vertical="center"/>
      <protection/>
    </xf>
    <xf numFmtId="3" fontId="11" fillId="0" borderId="93" xfId="80" applyNumberFormat="1" applyBorder="1" applyAlignment="1">
      <alignment horizontal="center" vertical="center"/>
      <protection/>
    </xf>
    <xf numFmtId="3" fontId="39" fillId="0" borderId="20" xfId="80" applyNumberFormat="1" applyFont="1" applyBorder="1" applyAlignment="1">
      <alignment horizontal="center" vertical="center"/>
      <protection/>
    </xf>
    <xf numFmtId="3" fontId="11" fillId="39" borderId="92" xfId="80" applyNumberFormat="1" applyFill="1" applyBorder="1" applyAlignment="1">
      <alignment horizontal="center" vertical="center"/>
      <protection/>
    </xf>
    <xf numFmtId="3" fontId="11" fillId="39" borderId="93" xfId="80" applyNumberFormat="1" applyFill="1" applyBorder="1" applyAlignment="1">
      <alignment horizontal="center" vertical="center"/>
      <protection/>
    </xf>
    <xf numFmtId="3" fontId="11" fillId="39" borderId="87" xfId="80" applyNumberFormat="1" applyFill="1" applyBorder="1" applyAlignment="1">
      <alignment horizontal="center" vertical="center"/>
      <protection/>
    </xf>
    <xf numFmtId="3" fontId="11" fillId="39" borderId="88" xfId="80" applyNumberFormat="1" applyFill="1" applyBorder="1" applyAlignment="1">
      <alignment horizontal="center" vertical="center"/>
      <protection/>
    </xf>
    <xf numFmtId="49" fontId="39" fillId="39" borderId="19" xfId="80" applyNumberFormat="1" applyFont="1" applyFill="1" applyBorder="1" applyAlignment="1">
      <alignment horizontal="center" vertical="center"/>
      <protection/>
    </xf>
    <xf numFmtId="49" fontId="11" fillId="39" borderId="66" xfId="80" applyNumberFormat="1" applyFill="1" applyBorder="1" applyAlignment="1">
      <alignment horizontal="center" vertical="center"/>
      <protection/>
    </xf>
    <xf numFmtId="49" fontId="39" fillId="39" borderId="20" xfId="80" applyNumberFormat="1" applyFont="1" applyFill="1" applyBorder="1" applyAlignment="1">
      <alignment horizontal="center" vertical="center"/>
      <protection/>
    </xf>
    <xf numFmtId="49" fontId="11" fillId="39" borderId="59" xfId="80" applyNumberFormat="1" applyFill="1" applyBorder="1" applyAlignment="1">
      <alignment horizontal="center" vertical="center"/>
      <protection/>
    </xf>
    <xf numFmtId="49" fontId="39" fillId="39" borderId="61" xfId="80" applyNumberFormat="1" applyFont="1" applyFill="1" applyBorder="1" applyAlignment="1">
      <alignment horizontal="center" vertical="center"/>
      <protection/>
    </xf>
    <xf numFmtId="49" fontId="11" fillId="39" borderId="60" xfId="80" applyNumberFormat="1" applyFill="1" applyBorder="1" applyAlignment="1">
      <alignment horizontal="center" vertical="center"/>
      <protection/>
    </xf>
    <xf numFmtId="3" fontId="11" fillId="39" borderId="19" xfId="80" applyNumberFormat="1" applyFill="1" applyBorder="1" applyAlignment="1">
      <alignment horizontal="center" vertical="center"/>
      <protection/>
    </xf>
    <xf numFmtId="3" fontId="11" fillId="39" borderId="66" xfId="80" applyNumberFormat="1" applyFill="1" applyBorder="1" applyAlignment="1">
      <alignment horizontal="center" vertical="center"/>
      <protection/>
    </xf>
    <xf numFmtId="3" fontId="11" fillId="39" borderId="20" xfId="80" applyNumberFormat="1" applyFill="1" applyBorder="1" applyAlignment="1">
      <alignment horizontal="center" vertical="center"/>
      <protection/>
    </xf>
    <xf numFmtId="3" fontId="11" fillId="39" borderId="59" xfId="80" applyNumberFormat="1" applyFill="1" applyBorder="1" applyAlignment="1">
      <alignment horizontal="center" vertical="center"/>
      <protection/>
    </xf>
    <xf numFmtId="3" fontId="11" fillId="39" borderId="21" xfId="80" applyNumberFormat="1" applyFill="1" applyBorder="1" applyAlignment="1">
      <alignment horizontal="center" vertical="center"/>
      <protection/>
    </xf>
    <xf numFmtId="3" fontId="11" fillId="39" borderId="24" xfId="80" applyNumberFormat="1" applyFill="1" applyBorder="1" applyAlignment="1">
      <alignment horizontal="center" vertical="center"/>
      <protection/>
    </xf>
    <xf numFmtId="49" fontId="39" fillId="0" borderId="89" xfId="80" applyNumberFormat="1" applyFont="1" applyBorder="1" applyAlignment="1">
      <alignment horizontal="center" vertical="center"/>
      <protection/>
    </xf>
    <xf numFmtId="49" fontId="11" fillId="0" borderId="75" xfId="80" applyNumberFormat="1" applyBorder="1" applyAlignment="1">
      <alignment horizontal="center" vertical="center"/>
      <protection/>
    </xf>
    <xf numFmtId="3" fontId="11" fillId="39" borderId="34" xfId="80" applyNumberFormat="1" applyFill="1" applyBorder="1" applyAlignment="1">
      <alignment horizontal="center" vertical="center"/>
      <protection/>
    </xf>
    <xf numFmtId="3" fontId="11" fillId="39" borderId="57" xfId="80" applyNumberFormat="1" applyFill="1" applyBorder="1" applyAlignment="1">
      <alignment horizontal="center" vertical="center"/>
      <protection/>
    </xf>
    <xf numFmtId="49" fontId="11" fillId="0" borderId="0" xfId="80" applyNumberFormat="1" applyBorder="1" applyAlignment="1">
      <alignment horizontal="center" vertical="center"/>
      <protection/>
    </xf>
    <xf numFmtId="49" fontId="11" fillId="0" borderId="12" xfId="80" applyNumberFormat="1" applyBorder="1" applyAlignment="1">
      <alignment horizontal="center" vertical="center"/>
      <protection/>
    </xf>
    <xf numFmtId="49" fontId="11" fillId="0" borderId="94" xfId="80" applyNumberFormat="1" applyBorder="1" applyAlignment="1">
      <alignment horizontal="center" vertical="center"/>
      <protection/>
    </xf>
    <xf numFmtId="49" fontId="39" fillId="0" borderId="59" xfId="80" applyNumberFormat="1" applyFont="1" applyBorder="1" applyAlignment="1">
      <alignment horizontal="center" vertical="center"/>
      <protection/>
    </xf>
    <xf numFmtId="49" fontId="39" fillId="0" borderId="69" xfId="80" applyNumberFormat="1" applyFont="1" applyBorder="1" applyAlignment="1">
      <alignment horizontal="center" vertical="center"/>
      <protection/>
    </xf>
    <xf numFmtId="49" fontId="11" fillId="0" borderId="72" xfId="80" applyNumberFormat="1" applyBorder="1" applyAlignment="1">
      <alignment horizontal="center" vertical="center"/>
      <protection/>
    </xf>
  </cellXfs>
  <cellStyles count="7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Comma0" xfId="39"/>
    <cellStyle name="Currency0" xfId="40"/>
    <cellStyle name="Date" xfId="41"/>
    <cellStyle name="Ellenőrzőcella" xfId="42"/>
    <cellStyle name="Comma" xfId="43"/>
    <cellStyle name="Comma [0]" xfId="44"/>
    <cellStyle name="Ezres 2" xfId="45"/>
    <cellStyle name="Ezres 2 2" xfId="46"/>
    <cellStyle name="Ezres 2 3" xfId="47"/>
    <cellStyle name="Ezres 3" xfId="48"/>
    <cellStyle name="Figyelmeztetés" xfId="49"/>
    <cellStyle name="Fixed" xfId="50"/>
    <cellStyle name="Heading 1" xfId="51"/>
    <cellStyle name="Heading 2" xfId="52"/>
    <cellStyle name="Hyperlink"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Followed Hyperlink" xfId="64"/>
    <cellStyle name="Magyarázó szöveg" xfId="65"/>
    <cellStyle name="Normál 2" xfId="66"/>
    <cellStyle name="Normál 2 2" xfId="67"/>
    <cellStyle name="Normál 2 2 2" xfId="68"/>
    <cellStyle name="Normál 2 3" xfId="69"/>
    <cellStyle name="Normál 2 4" xfId="70"/>
    <cellStyle name="Normál 2_Szöv.besz.2008.mellékletek" xfId="71"/>
    <cellStyle name="Normál 3" xfId="72"/>
    <cellStyle name="Normál 3 2" xfId="73"/>
    <cellStyle name="Normál 3 2 2" xfId="74"/>
    <cellStyle name="Normál 4" xfId="75"/>
    <cellStyle name="Normál 5" xfId="76"/>
    <cellStyle name="Normál_Előirányzat-MgSzH 2007." xfId="77"/>
    <cellStyle name="Normal_KARSZJ3" xfId="78"/>
    <cellStyle name="Normál_Munka2" xfId="79"/>
    <cellStyle name="Normál_Nemzetk tám" xfId="80"/>
    <cellStyle name="Összesen" xfId="81"/>
    <cellStyle name="Currency" xfId="82"/>
    <cellStyle name="Currency [0]" xfId="83"/>
    <cellStyle name="Rossz" xfId="84"/>
    <cellStyle name="Semleges" xfId="85"/>
    <cellStyle name="Számítás" xfId="86"/>
    <cellStyle name="Percent"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tali\Local%20Settings\Temporary%20Internet%20Files\Content.Outlook\SYG8QQ4J\T&#225;bl&#225;k_%20sz&#246;vegeshez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appzs\Local%20Settings\Temporary%20Internet%20Files\Content.Outlook\INJPUBXP\T&#225;bl&#225;k_%20sz&#246;vegeshez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raunz\Local%20Settings\Temporary%20Internet%20Files\Content.Outlook\D2Q1EVSO\T&#225;bl&#225;k_%20sz&#246;vegeshez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étszám"/>
      <sheetName val="Fej.kez. (2)"/>
      <sheetName val="Fej.kez."/>
      <sheetName val=" lakás"/>
      <sheetName val="Pénzátad"/>
      <sheetName val="Pénzátvét"/>
      <sheetName val="Befekt"/>
      <sheetName val="Int.beruh"/>
      <sheetName val="Felúj. Korm.ber"/>
      <sheetName val="Ár és belvízv."/>
      <sheetName val="Nemzetk.t."/>
      <sheetName val="Munk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étszám"/>
      <sheetName val="Fej.kez. (2)"/>
      <sheetName val="Fej.kez."/>
      <sheetName val=" lakás"/>
      <sheetName val="Pénzátad"/>
      <sheetName val="Pénzátvét"/>
      <sheetName val="Befekt"/>
      <sheetName val="Int.beruh"/>
      <sheetName val="Felúj. Korm.ber"/>
      <sheetName val="Ár és belvízv."/>
      <sheetName val="Nemzetk.t."/>
      <sheetName val="Munk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étszám"/>
      <sheetName val="Fej.kez. (2)"/>
      <sheetName val="Fej.kez."/>
      <sheetName val=" lakás"/>
      <sheetName val="Pénzátad"/>
      <sheetName val="Pénzátvét"/>
      <sheetName val="Befekt"/>
      <sheetName val="Int.beruh"/>
      <sheetName val="Felúj. Korm.ber"/>
      <sheetName val="Ár és belvízv."/>
      <sheetName val="Nemzetk.t."/>
      <sheetName val="Munk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259"/>
  <sheetViews>
    <sheetView tabSelected="1" view="pageBreakPreview" zoomScale="60" zoomScalePageLayoutView="0" workbookViewId="0" topLeftCell="B1">
      <pane xSplit="5" ySplit="2" topLeftCell="G3" activePane="bottomRight" state="frozen"/>
      <selection pane="topLeft" activeCell="F25" sqref="F25"/>
      <selection pane="topRight" activeCell="F25" sqref="F25"/>
      <selection pane="bottomLeft" activeCell="F25" sqref="F25"/>
      <selection pane="bottomRight" activeCell="G3" sqref="G3"/>
    </sheetView>
  </sheetViews>
  <sheetFormatPr defaultColWidth="9.140625" defaultRowHeight="12.75"/>
  <cols>
    <col min="1" max="1" width="0.13671875" style="320" customWidth="1"/>
    <col min="2" max="2" width="18.28125" style="320" customWidth="1"/>
    <col min="3" max="3" width="7.00390625" style="329" bestFit="1" customWidth="1"/>
    <col min="4" max="4" width="9.00390625" style="325" customWidth="1"/>
    <col min="5" max="5" width="5.28125" style="329" bestFit="1" customWidth="1"/>
    <col min="6" max="6" width="38.7109375" style="320" customWidth="1"/>
    <col min="7" max="7" width="11.140625" style="320" customWidth="1"/>
    <col min="8" max="8" width="10.8515625" style="320" bestFit="1" customWidth="1"/>
    <col min="9" max="9" width="10.421875" style="320" customWidth="1"/>
    <col min="10" max="10" width="7.8515625" style="320" bestFit="1" customWidth="1"/>
    <col min="11" max="11" width="9.140625" style="320" customWidth="1"/>
    <col min="12" max="12" width="9.421875" style="320" customWidth="1"/>
    <col min="13" max="14" width="9.57421875" style="320" customWidth="1"/>
    <col min="15" max="15" width="9.00390625" style="320" customWidth="1"/>
    <col min="16" max="16" width="8.421875" style="320" customWidth="1"/>
    <col min="17" max="17" width="10.140625" style="320" customWidth="1"/>
    <col min="18" max="18" width="11.140625" style="320" customWidth="1"/>
    <col min="19" max="19" width="9.8515625" style="320" customWidth="1"/>
    <col min="20" max="20" width="11.57421875" style="320" customWidth="1"/>
    <col min="21" max="21" width="12.140625" style="320" customWidth="1"/>
    <col min="22" max="22" width="9.00390625" style="320" customWidth="1"/>
    <col min="23" max="23" width="11.421875" style="320" customWidth="1"/>
    <col min="24" max="24" width="12.28125" style="320" customWidth="1"/>
    <col min="25" max="25" width="12.140625" style="320" customWidth="1"/>
    <col min="26" max="26" width="11.00390625" style="320" bestFit="1" customWidth="1"/>
    <col min="27" max="27" width="10.7109375" style="320" customWidth="1"/>
    <col min="28" max="28" width="11.8515625" style="320" customWidth="1"/>
    <col min="29" max="29" width="10.28125" style="320" customWidth="1"/>
    <col min="30" max="30" width="6.7109375" style="320" customWidth="1"/>
    <col min="31" max="31" width="11.00390625" style="320" customWidth="1"/>
    <col min="32" max="32" width="1.1484375" style="320" hidden="1" customWidth="1"/>
    <col min="33" max="33" width="8.57421875" style="320" bestFit="1" customWidth="1"/>
    <col min="34" max="16384" width="9.140625" style="320" customWidth="1"/>
  </cols>
  <sheetData>
    <row r="1" spans="1:32" s="256" customFormat="1" ht="16.5" customHeight="1">
      <c r="A1" s="408" t="s">
        <v>548</v>
      </c>
      <c r="B1" s="410" t="s">
        <v>549</v>
      </c>
      <c r="C1" s="410" t="s">
        <v>550</v>
      </c>
      <c r="D1" s="412" t="s">
        <v>551</v>
      </c>
      <c r="E1" s="410" t="s">
        <v>552</v>
      </c>
      <c r="F1" s="410" t="s">
        <v>187</v>
      </c>
      <c r="G1" s="414" t="s">
        <v>553</v>
      </c>
      <c r="H1" s="414" t="s">
        <v>554</v>
      </c>
      <c r="I1" s="410" t="s">
        <v>555</v>
      </c>
      <c r="J1" s="410" t="s">
        <v>556</v>
      </c>
      <c r="K1" s="410" t="s">
        <v>557</v>
      </c>
      <c r="L1" s="410" t="s">
        <v>558</v>
      </c>
      <c r="M1" s="410" t="s">
        <v>559</v>
      </c>
      <c r="N1" s="410" t="s">
        <v>560</v>
      </c>
      <c r="O1" s="410" t="s">
        <v>561</v>
      </c>
      <c r="P1" s="410" t="s">
        <v>75</v>
      </c>
      <c r="Q1" s="410" t="s">
        <v>562</v>
      </c>
      <c r="R1" s="410" t="s">
        <v>563</v>
      </c>
      <c r="S1" s="416" t="s">
        <v>564</v>
      </c>
      <c r="T1" s="418" t="s">
        <v>565</v>
      </c>
      <c r="U1" s="410" t="s">
        <v>566</v>
      </c>
      <c r="V1" s="410" t="s">
        <v>567</v>
      </c>
      <c r="W1" s="410" t="s">
        <v>568</v>
      </c>
      <c r="X1" s="410" t="s">
        <v>569</v>
      </c>
      <c r="Y1" s="410" t="s">
        <v>570</v>
      </c>
      <c r="Z1" s="410" t="s">
        <v>571</v>
      </c>
      <c r="AA1" s="410" t="s">
        <v>572</v>
      </c>
      <c r="AB1" s="410" t="s">
        <v>573</v>
      </c>
      <c r="AC1" s="410" t="s">
        <v>574</v>
      </c>
      <c r="AD1" s="410" t="s">
        <v>575</v>
      </c>
      <c r="AE1" s="418" t="s">
        <v>576</v>
      </c>
      <c r="AF1" s="255"/>
    </row>
    <row r="2" spans="1:32" s="258" customFormat="1" ht="60" customHeight="1" thickBot="1">
      <c r="A2" s="409"/>
      <c r="B2" s="411"/>
      <c r="C2" s="411"/>
      <c r="D2" s="413"/>
      <c r="E2" s="411"/>
      <c r="F2" s="411"/>
      <c r="G2" s="415"/>
      <c r="H2" s="415"/>
      <c r="I2" s="411"/>
      <c r="J2" s="411"/>
      <c r="K2" s="411"/>
      <c r="L2" s="411"/>
      <c r="M2" s="411"/>
      <c r="N2" s="411"/>
      <c r="O2" s="411"/>
      <c r="P2" s="411"/>
      <c r="Q2" s="411"/>
      <c r="R2" s="411"/>
      <c r="S2" s="417"/>
      <c r="T2" s="419"/>
      <c r="U2" s="411"/>
      <c r="V2" s="411"/>
      <c r="W2" s="411"/>
      <c r="X2" s="411"/>
      <c r="Y2" s="411"/>
      <c r="Z2" s="411"/>
      <c r="AA2" s="411"/>
      <c r="AB2" s="411"/>
      <c r="AC2" s="411"/>
      <c r="AD2" s="411"/>
      <c r="AE2" s="419"/>
      <c r="AF2" s="257" t="s">
        <v>577</v>
      </c>
    </row>
    <row r="3" spans="1:33" s="265" customFormat="1" ht="12.75" customHeight="1">
      <c r="A3" s="259" t="s">
        <v>578</v>
      </c>
      <c r="B3" s="260" t="s">
        <v>579</v>
      </c>
      <c r="C3" s="261" t="s">
        <v>580</v>
      </c>
      <c r="D3" s="261"/>
      <c r="E3" s="261" t="s">
        <v>581</v>
      </c>
      <c r="F3" s="260" t="s">
        <v>582</v>
      </c>
      <c r="G3" s="260">
        <v>18204100</v>
      </c>
      <c r="H3" s="260">
        <v>5306700</v>
      </c>
      <c r="I3" s="260">
        <v>5371700</v>
      </c>
      <c r="J3" s="260"/>
      <c r="K3" s="260"/>
      <c r="L3" s="260"/>
      <c r="M3" s="260"/>
      <c r="N3" s="260"/>
      <c r="O3" s="260"/>
      <c r="P3" s="260"/>
      <c r="Q3" s="260"/>
      <c r="R3" s="262"/>
      <c r="S3" s="260"/>
      <c r="T3" s="263">
        <f>SUM(G3:S3)</f>
        <v>28882500</v>
      </c>
      <c r="U3" s="260">
        <v>13558000</v>
      </c>
      <c r="V3" s="260"/>
      <c r="W3" s="260"/>
      <c r="X3" s="260"/>
      <c r="Y3" s="260"/>
      <c r="Z3" s="260"/>
      <c r="AA3" s="260"/>
      <c r="AB3" s="260">
        <v>15324500</v>
      </c>
      <c r="AC3" s="260"/>
      <c r="AD3" s="260"/>
      <c r="AE3" s="263">
        <f>SUM(U3:AD3)</f>
        <v>28882500</v>
      </c>
      <c r="AF3" s="264">
        <v>0</v>
      </c>
      <c r="AG3" s="264">
        <f>AE3-T3</f>
        <v>0</v>
      </c>
    </row>
    <row r="4" spans="1:33" s="265" customFormat="1" ht="12.75" customHeight="1">
      <c r="A4" s="259"/>
      <c r="B4" s="260" t="s">
        <v>583</v>
      </c>
      <c r="C4" s="266" t="s">
        <v>584</v>
      </c>
      <c r="D4" s="266"/>
      <c r="E4" s="266" t="s">
        <v>585</v>
      </c>
      <c r="F4" s="267" t="s">
        <v>586</v>
      </c>
      <c r="G4" s="260">
        <v>-17400</v>
      </c>
      <c r="H4" s="260">
        <v>-4800</v>
      </c>
      <c r="I4" s="260">
        <v>-7000</v>
      </c>
      <c r="J4" s="260"/>
      <c r="K4" s="260"/>
      <c r="L4" s="260"/>
      <c r="M4" s="260"/>
      <c r="N4" s="260"/>
      <c r="O4" s="260"/>
      <c r="P4" s="260"/>
      <c r="Q4" s="260"/>
      <c r="R4" s="260"/>
      <c r="S4" s="260"/>
      <c r="T4" s="263">
        <f>SUM(G4:S4)</f>
        <v>-29200</v>
      </c>
      <c r="U4" s="260"/>
      <c r="V4" s="260"/>
      <c r="W4" s="260"/>
      <c r="X4" s="260"/>
      <c r="Y4" s="260"/>
      <c r="Z4" s="260"/>
      <c r="AA4" s="260"/>
      <c r="AB4" s="260">
        <v>-29200</v>
      </c>
      <c r="AC4" s="260"/>
      <c r="AD4" s="260"/>
      <c r="AE4" s="263">
        <f>SUM(U4:AD4)</f>
        <v>-29200</v>
      </c>
      <c r="AF4" s="264"/>
      <c r="AG4" s="264">
        <f aca="true" t="shared" si="0" ref="AG4:AG251">AE4-T4</f>
        <v>0</v>
      </c>
    </row>
    <row r="5" spans="1:33" s="270" customFormat="1" ht="13.5">
      <c r="A5" s="268"/>
      <c r="B5" s="420" t="s">
        <v>587</v>
      </c>
      <c r="C5" s="421"/>
      <c r="D5" s="421"/>
      <c r="E5" s="421"/>
      <c r="F5" s="422"/>
      <c r="G5" s="269">
        <f>SUM(G3:G4)</f>
        <v>18186700</v>
      </c>
      <c r="H5" s="269">
        <f aca="true" t="shared" si="1" ref="H5:AF5">SUM(H3:H4)</f>
        <v>5301900</v>
      </c>
      <c r="I5" s="269">
        <f t="shared" si="1"/>
        <v>5364700</v>
      </c>
      <c r="J5" s="269">
        <f t="shared" si="1"/>
        <v>0</v>
      </c>
      <c r="K5" s="269">
        <f t="shared" si="1"/>
        <v>0</v>
      </c>
      <c r="L5" s="269">
        <f t="shared" si="1"/>
        <v>0</v>
      </c>
      <c r="M5" s="269">
        <f t="shared" si="1"/>
        <v>0</v>
      </c>
      <c r="N5" s="269">
        <f t="shared" si="1"/>
        <v>0</v>
      </c>
      <c r="O5" s="269">
        <f t="shared" si="1"/>
        <v>0</v>
      </c>
      <c r="P5" s="269">
        <f t="shared" si="1"/>
        <v>0</v>
      </c>
      <c r="Q5" s="269">
        <f t="shared" si="1"/>
        <v>0</v>
      </c>
      <c r="R5" s="269">
        <f t="shared" si="1"/>
        <v>0</v>
      </c>
      <c r="S5" s="269">
        <f t="shared" si="1"/>
        <v>0</v>
      </c>
      <c r="T5" s="269">
        <f t="shared" si="1"/>
        <v>28853300</v>
      </c>
      <c r="U5" s="269">
        <f t="shared" si="1"/>
        <v>13558000</v>
      </c>
      <c r="V5" s="269">
        <f t="shared" si="1"/>
        <v>0</v>
      </c>
      <c r="W5" s="269">
        <f t="shared" si="1"/>
        <v>0</v>
      </c>
      <c r="X5" s="269">
        <f t="shared" si="1"/>
        <v>0</v>
      </c>
      <c r="Y5" s="269">
        <f t="shared" si="1"/>
        <v>0</v>
      </c>
      <c r="Z5" s="269">
        <f t="shared" si="1"/>
        <v>0</v>
      </c>
      <c r="AA5" s="269">
        <f t="shared" si="1"/>
        <v>0</v>
      </c>
      <c r="AB5" s="269">
        <f t="shared" si="1"/>
        <v>15295300</v>
      </c>
      <c r="AC5" s="269">
        <f t="shared" si="1"/>
        <v>0</v>
      </c>
      <c r="AD5" s="269">
        <f t="shared" si="1"/>
        <v>0</v>
      </c>
      <c r="AE5" s="269">
        <f t="shared" si="1"/>
        <v>28853300</v>
      </c>
      <c r="AF5" s="268">
        <f t="shared" si="1"/>
        <v>0</v>
      </c>
      <c r="AG5" s="264">
        <f t="shared" si="0"/>
        <v>0</v>
      </c>
    </row>
    <row r="6" spans="1:33" s="265" customFormat="1" ht="12.75">
      <c r="A6" s="259"/>
      <c r="B6" s="260" t="s">
        <v>588</v>
      </c>
      <c r="C6" s="266" t="s">
        <v>589</v>
      </c>
      <c r="D6" s="266"/>
      <c r="E6" s="266" t="s">
        <v>590</v>
      </c>
      <c r="F6" s="259" t="s">
        <v>591</v>
      </c>
      <c r="G6" s="259">
        <v>385070</v>
      </c>
      <c r="H6" s="259">
        <v>104881</v>
      </c>
      <c r="I6" s="259"/>
      <c r="J6" s="259"/>
      <c r="K6" s="259"/>
      <c r="L6" s="259"/>
      <c r="M6" s="259"/>
      <c r="N6" s="259"/>
      <c r="O6" s="259"/>
      <c r="P6" s="259"/>
      <c r="Q6" s="259"/>
      <c r="R6" s="259"/>
      <c r="S6" s="260"/>
      <c r="T6" s="263">
        <f aca="true" t="shared" si="2" ref="T6:T121">SUM(G6:S6)</f>
        <v>489951</v>
      </c>
      <c r="U6" s="259"/>
      <c r="V6" s="259"/>
      <c r="W6" s="259"/>
      <c r="X6" s="259"/>
      <c r="Y6" s="259"/>
      <c r="Z6" s="259"/>
      <c r="AA6" s="259"/>
      <c r="AB6" s="259">
        <v>489951</v>
      </c>
      <c r="AC6" s="259"/>
      <c r="AD6" s="260"/>
      <c r="AE6" s="263">
        <f aca="true" t="shared" si="3" ref="AE6:AE121">SUM(U6:AD6)</f>
        <v>489951</v>
      </c>
      <c r="AF6" s="264">
        <v>0</v>
      </c>
      <c r="AG6" s="264">
        <f t="shared" si="0"/>
        <v>0</v>
      </c>
    </row>
    <row r="7" spans="1:33" s="272" customFormat="1" ht="13.5">
      <c r="A7" s="271"/>
      <c r="B7" s="420" t="s">
        <v>592</v>
      </c>
      <c r="C7" s="421"/>
      <c r="D7" s="421"/>
      <c r="E7" s="421"/>
      <c r="F7" s="422"/>
      <c r="G7" s="269">
        <f aca="true" t="shared" si="4" ref="G7:AF7">SUM(G6:G6)</f>
        <v>385070</v>
      </c>
      <c r="H7" s="269">
        <f t="shared" si="4"/>
        <v>104881</v>
      </c>
      <c r="I7" s="269">
        <f t="shared" si="4"/>
        <v>0</v>
      </c>
      <c r="J7" s="269">
        <f t="shared" si="4"/>
        <v>0</v>
      </c>
      <c r="K7" s="269">
        <f t="shared" si="4"/>
        <v>0</v>
      </c>
      <c r="L7" s="269">
        <f t="shared" si="4"/>
        <v>0</v>
      </c>
      <c r="M7" s="269">
        <f t="shared" si="4"/>
        <v>0</v>
      </c>
      <c r="N7" s="269">
        <f t="shared" si="4"/>
        <v>0</v>
      </c>
      <c r="O7" s="269">
        <f t="shared" si="4"/>
        <v>0</v>
      </c>
      <c r="P7" s="269">
        <f t="shared" si="4"/>
        <v>0</v>
      </c>
      <c r="Q7" s="269">
        <f t="shared" si="4"/>
        <v>0</v>
      </c>
      <c r="R7" s="269">
        <f t="shared" si="4"/>
        <v>0</v>
      </c>
      <c r="S7" s="269">
        <f t="shared" si="4"/>
        <v>0</v>
      </c>
      <c r="T7" s="269">
        <f t="shared" si="4"/>
        <v>489951</v>
      </c>
      <c r="U7" s="269">
        <f t="shared" si="4"/>
        <v>0</v>
      </c>
      <c r="V7" s="269">
        <f t="shared" si="4"/>
        <v>0</v>
      </c>
      <c r="W7" s="269">
        <f t="shared" si="4"/>
        <v>0</v>
      </c>
      <c r="X7" s="269">
        <f t="shared" si="4"/>
        <v>0</v>
      </c>
      <c r="Y7" s="269">
        <f t="shared" si="4"/>
        <v>0</v>
      </c>
      <c r="Z7" s="269">
        <f t="shared" si="4"/>
        <v>0</v>
      </c>
      <c r="AA7" s="269">
        <f t="shared" si="4"/>
        <v>0</v>
      </c>
      <c r="AB7" s="269">
        <f t="shared" si="4"/>
        <v>489951</v>
      </c>
      <c r="AC7" s="269">
        <f t="shared" si="4"/>
        <v>0</v>
      </c>
      <c r="AD7" s="269">
        <f t="shared" si="4"/>
        <v>0</v>
      </c>
      <c r="AE7" s="269">
        <f t="shared" si="4"/>
        <v>489951</v>
      </c>
      <c r="AF7" s="269">
        <f t="shared" si="4"/>
        <v>0</v>
      </c>
      <c r="AG7" s="264">
        <f t="shared" si="0"/>
        <v>0</v>
      </c>
    </row>
    <row r="8" spans="1:33" s="265" customFormat="1" ht="12.75">
      <c r="A8" s="273"/>
      <c r="B8" s="274" t="s">
        <v>593</v>
      </c>
      <c r="C8" s="275" t="s">
        <v>594</v>
      </c>
      <c r="D8" s="275">
        <v>4039</v>
      </c>
      <c r="E8" s="276">
        <v>5</v>
      </c>
      <c r="F8" s="277" t="s">
        <v>595</v>
      </c>
      <c r="G8" s="260"/>
      <c r="H8" s="260"/>
      <c r="I8" s="260">
        <v>5000</v>
      </c>
      <c r="J8" s="260"/>
      <c r="K8" s="260"/>
      <c r="L8" s="260"/>
      <c r="M8" s="260"/>
      <c r="N8" s="260"/>
      <c r="O8" s="260"/>
      <c r="P8" s="260"/>
      <c r="Q8" s="260">
        <v>2000</v>
      </c>
      <c r="R8" s="260"/>
      <c r="S8" s="260"/>
      <c r="T8" s="263">
        <f t="shared" si="2"/>
        <v>7000</v>
      </c>
      <c r="U8" s="259"/>
      <c r="V8" s="259"/>
      <c r="W8" s="259"/>
      <c r="X8" s="278">
        <v>7000</v>
      </c>
      <c r="Y8" s="259"/>
      <c r="Z8" s="259"/>
      <c r="AA8" s="259"/>
      <c r="AB8" s="259"/>
      <c r="AC8" s="259"/>
      <c r="AD8" s="259"/>
      <c r="AE8" s="263">
        <f t="shared" si="3"/>
        <v>7000</v>
      </c>
      <c r="AF8" s="259"/>
      <c r="AG8" s="264">
        <f t="shared" si="0"/>
        <v>0</v>
      </c>
    </row>
    <row r="9" spans="1:33" s="265" customFormat="1" ht="12.75">
      <c r="A9" s="273"/>
      <c r="B9" s="274"/>
      <c r="C9" s="275"/>
      <c r="D9" s="275">
        <v>3909</v>
      </c>
      <c r="E9" s="276">
        <v>5</v>
      </c>
      <c r="F9" s="277" t="s">
        <v>596</v>
      </c>
      <c r="G9" s="259"/>
      <c r="H9" s="259"/>
      <c r="I9" s="259"/>
      <c r="J9" s="259"/>
      <c r="K9" s="259"/>
      <c r="L9" s="259"/>
      <c r="M9" s="259"/>
      <c r="N9" s="259"/>
      <c r="O9" s="259"/>
      <c r="P9" s="259">
        <v>27391</v>
      </c>
      <c r="Q9" s="259">
        <v>100000</v>
      </c>
      <c r="R9" s="259"/>
      <c r="S9" s="259"/>
      <c r="T9" s="263">
        <f t="shared" si="2"/>
        <v>127391</v>
      </c>
      <c r="U9" s="259"/>
      <c r="V9" s="259"/>
      <c r="W9" s="259"/>
      <c r="X9" s="278">
        <v>127391</v>
      </c>
      <c r="Y9" s="259"/>
      <c r="Z9" s="259"/>
      <c r="AA9" s="259"/>
      <c r="AB9" s="259"/>
      <c r="AC9" s="259"/>
      <c r="AD9" s="259"/>
      <c r="AE9" s="263">
        <f t="shared" si="3"/>
        <v>127391</v>
      </c>
      <c r="AF9" s="259"/>
      <c r="AG9" s="264">
        <f t="shared" si="0"/>
        <v>0</v>
      </c>
    </row>
    <row r="10" spans="1:33" s="265" customFormat="1" ht="12.75">
      <c r="A10" s="273"/>
      <c r="B10" s="279"/>
      <c r="C10" s="275"/>
      <c r="D10" s="275">
        <v>2923</v>
      </c>
      <c r="E10" s="276">
        <v>5</v>
      </c>
      <c r="F10" s="277" t="s">
        <v>597</v>
      </c>
      <c r="G10" s="259"/>
      <c r="H10" s="259"/>
      <c r="I10" s="259">
        <v>5000</v>
      </c>
      <c r="J10" s="259"/>
      <c r="K10" s="259"/>
      <c r="L10" s="259"/>
      <c r="M10" s="259"/>
      <c r="N10" s="259"/>
      <c r="O10" s="259"/>
      <c r="P10" s="259"/>
      <c r="Q10" s="259"/>
      <c r="R10" s="259"/>
      <c r="S10" s="259"/>
      <c r="T10" s="263">
        <f t="shared" si="2"/>
        <v>5000</v>
      </c>
      <c r="U10" s="259"/>
      <c r="V10" s="259"/>
      <c r="W10" s="259"/>
      <c r="X10" s="278">
        <v>5000</v>
      </c>
      <c r="Y10" s="259"/>
      <c r="Z10" s="259"/>
      <c r="AA10" s="259"/>
      <c r="AB10" s="259"/>
      <c r="AC10" s="259"/>
      <c r="AD10" s="259"/>
      <c r="AE10" s="263">
        <f t="shared" si="3"/>
        <v>5000</v>
      </c>
      <c r="AF10" s="259"/>
      <c r="AG10" s="264">
        <f t="shared" si="0"/>
        <v>0</v>
      </c>
    </row>
    <row r="11" spans="1:33" s="265" customFormat="1" ht="12.75">
      <c r="A11" s="273"/>
      <c r="B11" s="274"/>
      <c r="C11" s="275"/>
      <c r="D11" s="275">
        <v>3909</v>
      </c>
      <c r="E11" s="276">
        <v>5</v>
      </c>
      <c r="F11" s="277" t="s">
        <v>598</v>
      </c>
      <c r="G11" s="259"/>
      <c r="H11" s="259"/>
      <c r="I11" s="259">
        <v>21903</v>
      </c>
      <c r="J11" s="259"/>
      <c r="K11" s="259"/>
      <c r="L11" s="259"/>
      <c r="M11" s="259"/>
      <c r="N11" s="259"/>
      <c r="O11" s="259"/>
      <c r="P11" s="259"/>
      <c r="Q11" s="259"/>
      <c r="R11" s="259"/>
      <c r="S11" s="259"/>
      <c r="T11" s="263">
        <f t="shared" si="2"/>
        <v>21903</v>
      </c>
      <c r="U11" s="259"/>
      <c r="V11" s="259"/>
      <c r="W11" s="259"/>
      <c r="X11" s="278">
        <v>21903</v>
      </c>
      <c r="Y11" s="259"/>
      <c r="Z11" s="259"/>
      <c r="AA11" s="259"/>
      <c r="AB11" s="259"/>
      <c r="AC11" s="259"/>
      <c r="AD11" s="259"/>
      <c r="AE11" s="263">
        <f t="shared" si="3"/>
        <v>21903</v>
      </c>
      <c r="AF11" s="259"/>
      <c r="AG11" s="264">
        <f t="shared" si="0"/>
        <v>0</v>
      </c>
    </row>
    <row r="12" spans="1:33" s="265" customFormat="1" ht="12.75">
      <c r="A12" s="273"/>
      <c r="B12" s="274"/>
      <c r="C12" s="275"/>
      <c r="D12" s="275" t="s">
        <v>599</v>
      </c>
      <c r="E12" s="276">
        <v>5</v>
      </c>
      <c r="F12" s="277" t="s">
        <v>600</v>
      </c>
      <c r="G12" s="259"/>
      <c r="H12" s="259"/>
      <c r="I12" s="259"/>
      <c r="J12" s="259"/>
      <c r="K12" s="259">
        <v>13669</v>
      </c>
      <c r="L12" s="259"/>
      <c r="M12" s="259"/>
      <c r="N12" s="259"/>
      <c r="O12" s="259"/>
      <c r="P12" s="259"/>
      <c r="Q12" s="259"/>
      <c r="R12" s="259"/>
      <c r="S12" s="259"/>
      <c r="T12" s="263">
        <f t="shared" si="2"/>
        <v>13669</v>
      </c>
      <c r="U12" s="259"/>
      <c r="V12" s="259"/>
      <c r="W12" s="259"/>
      <c r="X12" s="278">
        <v>13669</v>
      </c>
      <c r="Y12" s="259"/>
      <c r="Z12" s="259"/>
      <c r="AA12" s="259"/>
      <c r="AB12" s="259"/>
      <c r="AC12" s="259"/>
      <c r="AD12" s="259"/>
      <c r="AE12" s="263">
        <f t="shared" si="3"/>
        <v>13669</v>
      </c>
      <c r="AF12" s="259"/>
      <c r="AG12" s="264">
        <f t="shared" si="0"/>
        <v>0</v>
      </c>
    </row>
    <row r="13" spans="1:33" s="265" customFormat="1" ht="13.5">
      <c r="A13" s="273"/>
      <c r="B13" s="420" t="s">
        <v>601</v>
      </c>
      <c r="C13" s="421"/>
      <c r="D13" s="421"/>
      <c r="E13" s="421"/>
      <c r="F13" s="422"/>
      <c r="G13" s="269">
        <f aca="true" t="shared" si="5" ref="G13:AE13">SUM(G8:G12)</f>
        <v>0</v>
      </c>
      <c r="H13" s="269">
        <f t="shared" si="5"/>
        <v>0</v>
      </c>
      <c r="I13" s="269">
        <f t="shared" si="5"/>
        <v>31903</v>
      </c>
      <c r="J13" s="269">
        <f t="shared" si="5"/>
        <v>0</v>
      </c>
      <c r="K13" s="269">
        <f t="shared" si="5"/>
        <v>13669</v>
      </c>
      <c r="L13" s="269">
        <f t="shared" si="5"/>
        <v>0</v>
      </c>
      <c r="M13" s="269">
        <f t="shared" si="5"/>
        <v>0</v>
      </c>
      <c r="N13" s="269">
        <f t="shared" si="5"/>
        <v>0</v>
      </c>
      <c r="O13" s="269">
        <f t="shared" si="5"/>
        <v>0</v>
      </c>
      <c r="P13" s="269">
        <f t="shared" si="5"/>
        <v>27391</v>
      </c>
      <c r="Q13" s="269">
        <f t="shared" si="5"/>
        <v>102000</v>
      </c>
      <c r="R13" s="269">
        <f t="shared" si="5"/>
        <v>0</v>
      </c>
      <c r="S13" s="269">
        <f t="shared" si="5"/>
        <v>0</v>
      </c>
      <c r="T13" s="269">
        <f t="shared" si="5"/>
        <v>174963</v>
      </c>
      <c r="U13" s="269">
        <f t="shared" si="5"/>
        <v>0</v>
      </c>
      <c r="V13" s="269">
        <f t="shared" si="5"/>
        <v>0</v>
      </c>
      <c r="W13" s="269">
        <f t="shared" si="5"/>
        <v>0</v>
      </c>
      <c r="X13" s="269">
        <f t="shared" si="5"/>
        <v>174963</v>
      </c>
      <c r="Y13" s="269">
        <f t="shared" si="5"/>
        <v>0</v>
      </c>
      <c r="Z13" s="269">
        <f t="shared" si="5"/>
        <v>0</v>
      </c>
      <c r="AA13" s="269">
        <f t="shared" si="5"/>
        <v>0</v>
      </c>
      <c r="AB13" s="269">
        <f t="shared" si="5"/>
        <v>0</v>
      </c>
      <c r="AC13" s="269">
        <f t="shared" si="5"/>
        <v>0</v>
      </c>
      <c r="AD13" s="269">
        <f t="shared" si="5"/>
        <v>0</v>
      </c>
      <c r="AE13" s="269">
        <f t="shared" si="5"/>
        <v>174963</v>
      </c>
      <c r="AF13" s="269" t="e">
        <f>SUM(AF8:AF12)-#REF!</f>
        <v>#REF!</v>
      </c>
      <c r="AG13" s="264">
        <f t="shared" si="0"/>
        <v>0</v>
      </c>
    </row>
    <row r="14" spans="1:33" s="265" customFormat="1" ht="12.75">
      <c r="A14" s="273"/>
      <c r="B14" s="274" t="s">
        <v>602</v>
      </c>
      <c r="C14" s="275" t="s">
        <v>603</v>
      </c>
      <c r="D14" s="275" t="s">
        <v>604</v>
      </c>
      <c r="E14" s="276">
        <v>5</v>
      </c>
      <c r="F14" s="277" t="s">
        <v>605</v>
      </c>
      <c r="G14" s="259"/>
      <c r="H14" s="259"/>
      <c r="I14" s="259">
        <v>31539</v>
      </c>
      <c r="J14" s="259"/>
      <c r="K14" s="259"/>
      <c r="L14" s="259"/>
      <c r="M14" s="259"/>
      <c r="N14" s="259"/>
      <c r="O14" s="259"/>
      <c r="P14" s="259"/>
      <c r="Q14" s="259"/>
      <c r="R14" s="259"/>
      <c r="S14" s="259"/>
      <c r="T14" s="263">
        <f t="shared" si="2"/>
        <v>31539</v>
      </c>
      <c r="U14" s="259"/>
      <c r="V14" s="259"/>
      <c r="W14" s="259">
        <v>31539</v>
      </c>
      <c r="X14" s="259"/>
      <c r="Y14" s="259"/>
      <c r="Z14" s="259"/>
      <c r="AA14" s="259"/>
      <c r="AB14" s="259"/>
      <c r="AC14" s="259"/>
      <c r="AD14" s="259"/>
      <c r="AE14" s="263">
        <f t="shared" si="3"/>
        <v>31539</v>
      </c>
      <c r="AF14" s="259"/>
      <c r="AG14" s="264">
        <f t="shared" si="0"/>
        <v>0</v>
      </c>
    </row>
    <row r="15" spans="1:33" s="265" customFormat="1" ht="12.75">
      <c r="A15" s="273"/>
      <c r="B15" s="274"/>
      <c r="C15" s="275"/>
      <c r="D15" s="280" t="s">
        <v>606</v>
      </c>
      <c r="E15" s="276">
        <v>5</v>
      </c>
      <c r="F15" s="277" t="s">
        <v>607</v>
      </c>
      <c r="G15" s="259"/>
      <c r="H15" s="259"/>
      <c r="I15" s="259">
        <v>182676</v>
      </c>
      <c r="J15" s="259"/>
      <c r="K15" s="259"/>
      <c r="L15" s="259"/>
      <c r="M15" s="259"/>
      <c r="N15" s="259"/>
      <c r="O15" s="259"/>
      <c r="P15" s="259"/>
      <c r="Q15" s="259"/>
      <c r="R15" s="259"/>
      <c r="S15" s="259"/>
      <c r="T15" s="263">
        <f t="shared" si="2"/>
        <v>182676</v>
      </c>
      <c r="U15" s="259"/>
      <c r="V15" s="259"/>
      <c r="W15" s="259">
        <v>68357</v>
      </c>
      <c r="X15" s="259"/>
      <c r="Y15" s="259"/>
      <c r="Z15" s="259"/>
      <c r="AA15" s="259">
        <v>114319</v>
      </c>
      <c r="AB15" s="259"/>
      <c r="AC15" s="259"/>
      <c r="AD15" s="259"/>
      <c r="AE15" s="263">
        <f t="shared" si="3"/>
        <v>182676</v>
      </c>
      <c r="AF15" s="259"/>
      <c r="AG15" s="264">
        <f t="shared" si="0"/>
        <v>0</v>
      </c>
    </row>
    <row r="16" spans="1:33" s="265" customFormat="1" ht="12.75">
      <c r="A16" s="273"/>
      <c r="B16" s="274"/>
      <c r="C16" s="275"/>
      <c r="D16" s="275" t="s">
        <v>608</v>
      </c>
      <c r="E16" s="276">
        <v>5</v>
      </c>
      <c r="F16" s="277" t="s">
        <v>609</v>
      </c>
      <c r="G16" s="259"/>
      <c r="H16" s="259"/>
      <c r="I16" s="259">
        <v>3614</v>
      </c>
      <c r="J16" s="259"/>
      <c r="K16" s="259"/>
      <c r="L16" s="259"/>
      <c r="M16" s="259"/>
      <c r="N16" s="259"/>
      <c r="O16" s="259"/>
      <c r="P16" s="259"/>
      <c r="Q16" s="259"/>
      <c r="R16" s="259"/>
      <c r="S16" s="259"/>
      <c r="T16" s="263">
        <f t="shared" si="2"/>
        <v>3614</v>
      </c>
      <c r="U16" s="259"/>
      <c r="V16" s="259"/>
      <c r="W16" s="278">
        <v>3614</v>
      </c>
      <c r="X16" s="259"/>
      <c r="Y16" s="259"/>
      <c r="Z16" s="259"/>
      <c r="AA16" s="259"/>
      <c r="AB16" s="259"/>
      <c r="AC16" s="259"/>
      <c r="AD16" s="259"/>
      <c r="AE16" s="263">
        <f t="shared" si="3"/>
        <v>3614</v>
      </c>
      <c r="AF16" s="259"/>
      <c r="AG16" s="264">
        <f t="shared" si="0"/>
        <v>0</v>
      </c>
    </row>
    <row r="17" spans="1:33" s="265" customFormat="1" ht="12.75">
      <c r="A17" s="273"/>
      <c r="B17" s="274" t="s">
        <v>610</v>
      </c>
      <c r="C17" s="275" t="s">
        <v>603</v>
      </c>
      <c r="D17" s="275" t="s">
        <v>611</v>
      </c>
      <c r="E17" s="276">
        <v>5</v>
      </c>
      <c r="F17" s="277" t="s">
        <v>612</v>
      </c>
      <c r="G17" s="259"/>
      <c r="H17" s="259"/>
      <c r="I17" s="259">
        <v>182304</v>
      </c>
      <c r="J17" s="259"/>
      <c r="K17" s="259">
        <v>11173</v>
      </c>
      <c r="L17" s="259"/>
      <c r="M17" s="259"/>
      <c r="N17" s="259"/>
      <c r="O17" s="259"/>
      <c r="P17" s="259"/>
      <c r="Q17" s="259"/>
      <c r="R17" s="259"/>
      <c r="S17" s="259"/>
      <c r="T17" s="263">
        <f t="shared" si="2"/>
        <v>193477</v>
      </c>
      <c r="U17" s="259"/>
      <c r="V17" s="259"/>
      <c r="W17" s="259"/>
      <c r="X17" s="259"/>
      <c r="Y17" s="259"/>
      <c r="Z17" s="259"/>
      <c r="AA17" s="259"/>
      <c r="AB17" s="259"/>
      <c r="AC17" s="259">
        <v>193477</v>
      </c>
      <c r="AD17" s="259"/>
      <c r="AE17" s="263">
        <f t="shared" si="3"/>
        <v>193477</v>
      </c>
      <c r="AF17" s="259"/>
      <c r="AG17" s="264">
        <f t="shared" si="0"/>
        <v>0</v>
      </c>
    </row>
    <row r="18" spans="1:33" s="265" customFormat="1" ht="12.75">
      <c r="A18" s="273"/>
      <c r="B18" s="260" t="s">
        <v>613</v>
      </c>
      <c r="C18" s="275" t="s">
        <v>614</v>
      </c>
      <c r="D18" s="275"/>
      <c r="E18" s="276">
        <v>4</v>
      </c>
      <c r="F18" s="277" t="s">
        <v>615</v>
      </c>
      <c r="G18" s="259">
        <v>5014</v>
      </c>
      <c r="H18" s="259">
        <v>1354</v>
      </c>
      <c r="I18" s="259"/>
      <c r="J18" s="259"/>
      <c r="K18" s="259"/>
      <c r="L18" s="259"/>
      <c r="M18" s="259"/>
      <c r="N18" s="259"/>
      <c r="O18" s="259"/>
      <c r="P18" s="259"/>
      <c r="Q18" s="259"/>
      <c r="R18" s="259"/>
      <c r="S18" s="259"/>
      <c r="T18" s="263">
        <f t="shared" si="2"/>
        <v>6368</v>
      </c>
      <c r="U18" s="259"/>
      <c r="V18" s="259"/>
      <c r="W18" s="259"/>
      <c r="X18" s="259"/>
      <c r="Y18" s="259"/>
      <c r="Z18" s="259"/>
      <c r="AA18" s="259"/>
      <c r="AB18" s="259">
        <v>6368</v>
      </c>
      <c r="AC18" s="259"/>
      <c r="AD18" s="259"/>
      <c r="AE18" s="263">
        <f t="shared" si="3"/>
        <v>6368</v>
      </c>
      <c r="AF18" s="259"/>
      <c r="AG18" s="264">
        <f t="shared" si="0"/>
        <v>0</v>
      </c>
    </row>
    <row r="19" spans="1:33" s="265" customFormat="1" ht="12.75">
      <c r="A19" s="273"/>
      <c r="B19" s="274" t="s">
        <v>616</v>
      </c>
      <c r="C19" s="275" t="s">
        <v>617</v>
      </c>
      <c r="D19" s="275" t="s">
        <v>608</v>
      </c>
      <c r="E19" s="276">
        <v>5</v>
      </c>
      <c r="F19" s="277" t="s">
        <v>609</v>
      </c>
      <c r="G19" s="259"/>
      <c r="H19" s="259"/>
      <c r="I19" s="259">
        <v>34577</v>
      </c>
      <c r="J19" s="259"/>
      <c r="K19" s="259"/>
      <c r="L19" s="259"/>
      <c r="M19" s="259"/>
      <c r="N19" s="259"/>
      <c r="O19" s="259"/>
      <c r="P19" s="259"/>
      <c r="Q19" s="259"/>
      <c r="R19" s="259"/>
      <c r="S19" s="259"/>
      <c r="T19" s="263">
        <f t="shared" si="2"/>
        <v>34577</v>
      </c>
      <c r="U19" s="259"/>
      <c r="V19" s="259"/>
      <c r="W19" s="278">
        <v>34577</v>
      </c>
      <c r="X19" s="259"/>
      <c r="Y19" s="259"/>
      <c r="Z19" s="259"/>
      <c r="AA19" s="259"/>
      <c r="AB19" s="259"/>
      <c r="AC19" s="259"/>
      <c r="AD19" s="259"/>
      <c r="AE19" s="263">
        <f t="shared" si="3"/>
        <v>34577</v>
      </c>
      <c r="AF19" s="259"/>
      <c r="AG19" s="264">
        <f t="shared" si="0"/>
        <v>0</v>
      </c>
    </row>
    <row r="20" spans="1:33" s="265" customFormat="1" ht="12.75">
      <c r="A20" s="273"/>
      <c r="B20" s="274"/>
      <c r="C20" s="275"/>
      <c r="D20" s="275" t="s">
        <v>618</v>
      </c>
      <c r="E20" s="276">
        <v>5</v>
      </c>
      <c r="F20" s="277" t="s">
        <v>619</v>
      </c>
      <c r="G20" s="259">
        <v>121650</v>
      </c>
      <c r="H20" s="259">
        <v>29194</v>
      </c>
      <c r="I20" s="259">
        <v>2138</v>
      </c>
      <c r="J20" s="259"/>
      <c r="K20" s="259"/>
      <c r="L20" s="259"/>
      <c r="M20" s="259"/>
      <c r="N20" s="259"/>
      <c r="O20" s="259"/>
      <c r="P20" s="259"/>
      <c r="Q20" s="259"/>
      <c r="R20" s="259"/>
      <c r="S20" s="259"/>
      <c r="T20" s="263">
        <f t="shared" si="2"/>
        <v>152982</v>
      </c>
      <c r="U20" s="259"/>
      <c r="V20" s="259"/>
      <c r="W20" s="259">
        <v>152982</v>
      </c>
      <c r="X20" s="259"/>
      <c r="Y20" s="259"/>
      <c r="Z20" s="259"/>
      <c r="AA20" s="259"/>
      <c r="AB20" s="259"/>
      <c r="AC20" s="259"/>
      <c r="AD20" s="259"/>
      <c r="AE20" s="263">
        <f t="shared" si="3"/>
        <v>152982</v>
      </c>
      <c r="AF20" s="259"/>
      <c r="AG20" s="264">
        <f t="shared" si="0"/>
        <v>0</v>
      </c>
    </row>
    <row r="21" spans="1:33" s="265" customFormat="1" ht="12.75">
      <c r="A21" s="273"/>
      <c r="B21" s="274"/>
      <c r="C21" s="275"/>
      <c r="D21" s="275" t="s">
        <v>620</v>
      </c>
      <c r="E21" s="276">
        <v>5</v>
      </c>
      <c r="F21" s="277" t="s">
        <v>621</v>
      </c>
      <c r="G21" s="259"/>
      <c r="H21" s="259"/>
      <c r="I21" s="259">
        <v>51408</v>
      </c>
      <c r="J21" s="259"/>
      <c r="K21" s="259"/>
      <c r="L21" s="259"/>
      <c r="M21" s="259"/>
      <c r="N21" s="259"/>
      <c r="O21" s="259"/>
      <c r="P21" s="259"/>
      <c r="Q21" s="259"/>
      <c r="R21" s="259"/>
      <c r="S21" s="259"/>
      <c r="T21" s="263">
        <f t="shared" si="2"/>
        <v>51408</v>
      </c>
      <c r="U21" s="259"/>
      <c r="V21" s="259"/>
      <c r="W21" s="259">
        <v>51408</v>
      </c>
      <c r="X21" s="259"/>
      <c r="Y21" s="259"/>
      <c r="Z21" s="259"/>
      <c r="AA21" s="259"/>
      <c r="AB21" s="259"/>
      <c r="AC21" s="259"/>
      <c r="AD21" s="259"/>
      <c r="AE21" s="263">
        <f t="shared" si="3"/>
        <v>51408</v>
      </c>
      <c r="AF21" s="259"/>
      <c r="AG21" s="264">
        <f t="shared" si="0"/>
        <v>0</v>
      </c>
    </row>
    <row r="22" spans="1:33" s="265" customFormat="1" ht="12.75">
      <c r="A22" s="273"/>
      <c r="B22" s="274"/>
      <c r="C22" s="275"/>
      <c r="D22" s="275" t="s">
        <v>622</v>
      </c>
      <c r="E22" s="276">
        <v>5</v>
      </c>
      <c r="F22" s="277" t="s">
        <v>623</v>
      </c>
      <c r="G22" s="259"/>
      <c r="H22" s="259"/>
      <c r="I22" s="259">
        <f>9945+585+450</f>
        <v>10980</v>
      </c>
      <c r="J22" s="259"/>
      <c r="K22" s="259"/>
      <c r="L22" s="259"/>
      <c r="M22" s="259"/>
      <c r="N22" s="259"/>
      <c r="O22" s="259"/>
      <c r="P22" s="259"/>
      <c r="Q22" s="259"/>
      <c r="R22" s="259"/>
      <c r="S22" s="259"/>
      <c r="T22" s="263">
        <f t="shared" si="2"/>
        <v>10980</v>
      </c>
      <c r="U22" s="259"/>
      <c r="V22" s="259"/>
      <c r="W22" s="259">
        <v>10980</v>
      </c>
      <c r="X22" s="259"/>
      <c r="Y22" s="259"/>
      <c r="Z22" s="259"/>
      <c r="AA22" s="259"/>
      <c r="AB22" s="259"/>
      <c r="AC22" s="259"/>
      <c r="AD22" s="259"/>
      <c r="AE22" s="263">
        <f t="shared" si="3"/>
        <v>10980</v>
      </c>
      <c r="AF22" s="259"/>
      <c r="AG22" s="264">
        <f t="shared" si="0"/>
        <v>0</v>
      </c>
    </row>
    <row r="23" spans="1:33" s="265" customFormat="1" ht="12.75">
      <c r="A23" s="273"/>
      <c r="B23" s="260" t="s">
        <v>624</v>
      </c>
      <c r="C23" s="275" t="s">
        <v>625</v>
      </c>
      <c r="D23" s="275"/>
      <c r="E23" s="276">
        <v>4</v>
      </c>
      <c r="F23" s="277" t="s">
        <v>626</v>
      </c>
      <c r="G23" s="259">
        <v>353</v>
      </c>
      <c r="H23" s="259">
        <v>81</v>
      </c>
      <c r="I23" s="259"/>
      <c r="J23" s="259"/>
      <c r="K23" s="259"/>
      <c r="L23" s="259"/>
      <c r="M23" s="259"/>
      <c r="N23" s="259"/>
      <c r="O23" s="259"/>
      <c r="P23" s="259"/>
      <c r="Q23" s="259"/>
      <c r="R23" s="259"/>
      <c r="S23" s="259"/>
      <c r="T23" s="263">
        <f t="shared" si="2"/>
        <v>434</v>
      </c>
      <c r="U23" s="259"/>
      <c r="V23" s="259"/>
      <c r="W23" s="259"/>
      <c r="X23" s="259"/>
      <c r="Y23" s="259"/>
      <c r="Z23" s="259"/>
      <c r="AA23" s="259"/>
      <c r="AB23" s="259">
        <v>434</v>
      </c>
      <c r="AC23" s="259"/>
      <c r="AD23" s="259"/>
      <c r="AE23" s="263">
        <f t="shared" si="3"/>
        <v>434</v>
      </c>
      <c r="AF23" s="259"/>
      <c r="AG23" s="264">
        <f t="shared" si="0"/>
        <v>0</v>
      </c>
    </row>
    <row r="24" spans="1:33" s="265" customFormat="1" ht="12.75">
      <c r="A24" s="273"/>
      <c r="B24" s="274" t="s">
        <v>627</v>
      </c>
      <c r="C24" s="275" t="s">
        <v>628</v>
      </c>
      <c r="D24" s="275" t="s">
        <v>629</v>
      </c>
      <c r="E24" s="276">
        <v>5</v>
      </c>
      <c r="F24" s="277" t="s">
        <v>630</v>
      </c>
      <c r="G24" s="259"/>
      <c r="H24" s="259"/>
      <c r="I24" s="259">
        <v>2963</v>
      </c>
      <c r="J24" s="259"/>
      <c r="K24" s="259"/>
      <c r="L24" s="259"/>
      <c r="M24" s="259"/>
      <c r="N24" s="259"/>
      <c r="O24" s="259"/>
      <c r="P24" s="259"/>
      <c r="Q24" s="259"/>
      <c r="R24" s="259"/>
      <c r="S24" s="259"/>
      <c r="T24" s="263">
        <f t="shared" si="2"/>
        <v>2963</v>
      </c>
      <c r="U24" s="259"/>
      <c r="V24" s="259"/>
      <c r="W24" s="259">
        <v>2963</v>
      </c>
      <c r="X24" s="259"/>
      <c r="Y24" s="259"/>
      <c r="Z24" s="259"/>
      <c r="AA24" s="259"/>
      <c r="AB24" s="259"/>
      <c r="AC24" s="259"/>
      <c r="AD24" s="259"/>
      <c r="AE24" s="263">
        <f t="shared" si="3"/>
        <v>2963</v>
      </c>
      <c r="AF24" s="259"/>
      <c r="AG24" s="264">
        <f t="shared" si="0"/>
        <v>0</v>
      </c>
    </row>
    <row r="25" spans="1:33" s="265" customFormat="1" ht="12.75">
      <c r="A25" s="273"/>
      <c r="B25" s="281"/>
      <c r="C25" s="275"/>
      <c r="D25" s="275" t="s">
        <v>631</v>
      </c>
      <c r="E25" s="276">
        <v>5</v>
      </c>
      <c r="F25" s="277" t="s">
        <v>632</v>
      </c>
      <c r="G25" s="259">
        <v>9483</v>
      </c>
      <c r="H25" s="259">
        <v>1526</v>
      </c>
      <c r="I25" s="259"/>
      <c r="J25" s="259"/>
      <c r="K25" s="259"/>
      <c r="L25" s="259"/>
      <c r="M25" s="259"/>
      <c r="N25" s="259"/>
      <c r="O25" s="259"/>
      <c r="P25" s="259"/>
      <c r="Q25" s="259">
        <v>1684</v>
      </c>
      <c r="R25" s="259"/>
      <c r="S25" s="259"/>
      <c r="T25" s="263">
        <f t="shared" si="2"/>
        <v>12693</v>
      </c>
      <c r="U25" s="259"/>
      <c r="V25" s="259"/>
      <c r="W25" s="259">
        <v>12693</v>
      </c>
      <c r="X25" s="259"/>
      <c r="Y25" s="259"/>
      <c r="Z25" s="259"/>
      <c r="AA25" s="259"/>
      <c r="AB25" s="259"/>
      <c r="AC25" s="259"/>
      <c r="AD25" s="259"/>
      <c r="AE25" s="263">
        <f t="shared" si="3"/>
        <v>12693</v>
      </c>
      <c r="AF25" s="259"/>
      <c r="AG25" s="264">
        <f t="shared" si="0"/>
        <v>0</v>
      </c>
    </row>
    <row r="26" spans="1:33" s="265" customFormat="1" ht="12.75">
      <c r="A26" s="273"/>
      <c r="B26" s="281"/>
      <c r="C26" s="275"/>
      <c r="D26" s="275" t="s">
        <v>633</v>
      </c>
      <c r="E26" s="276">
        <v>5</v>
      </c>
      <c r="F26" s="277" t="s">
        <v>634</v>
      </c>
      <c r="G26" s="259">
        <v>136745</v>
      </c>
      <c r="H26" s="259"/>
      <c r="I26" s="259"/>
      <c r="J26" s="259"/>
      <c r="K26" s="259"/>
      <c r="L26" s="259"/>
      <c r="M26" s="259"/>
      <c r="N26" s="259"/>
      <c r="O26" s="259"/>
      <c r="P26" s="259"/>
      <c r="Q26" s="259"/>
      <c r="R26" s="259"/>
      <c r="S26" s="259"/>
      <c r="T26" s="263">
        <f t="shared" si="2"/>
        <v>136745</v>
      </c>
      <c r="U26" s="259"/>
      <c r="V26" s="259"/>
      <c r="W26" s="278">
        <v>136745</v>
      </c>
      <c r="X26" s="259"/>
      <c r="Y26" s="259"/>
      <c r="Z26" s="259"/>
      <c r="AA26" s="259"/>
      <c r="AB26" s="259"/>
      <c r="AC26" s="259"/>
      <c r="AD26" s="259"/>
      <c r="AE26" s="263">
        <f t="shared" si="3"/>
        <v>136745</v>
      </c>
      <c r="AF26" s="259"/>
      <c r="AG26" s="264">
        <f t="shared" si="0"/>
        <v>0</v>
      </c>
    </row>
    <row r="27" spans="1:33" s="265" customFormat="1" ht="12.75">
      <c r="A27" s="273"/>
      <c r="B27" s="281"/>
      <c r="C27" s="275"/>
      <c r="D27" s="275" t="s">
        <v>635</v>
      </c>
      <c r="E27" s="276">
        <v>5</v>
      </c>
      <c r="F27" s="277" t="s">
        <v>636</v>
      </c>
      <c r="G27" s="259"/>
      <c r="H27" s="259"/>
      <c r="I27" s="259">
        <v>9784</v>
      </c>
      <c r="J27" s="259"/>
      <c r="K27" s="259"/>
      <c r="L27" s="259"/>
      <c r="M27" s="259"/>
      <c r="N27" s="259"/>
      <c r="O27" s="259"/>
      <c r="P27" s="259"/>
      <c r="Q27" s="259"/>
      <c r="R27" s="259"/>
      <c r="S27" s="259"/>
      <c r="T27" s="263">
        <f t="shared" si="2"/>
        <v>9784</v>
      </c>
      <c r="U27" s="259"/>
      <c r="V27" s="259"/>
      <c r="W27" s="259">
        <v>9784</v>
      </c>
      <c r="X27" s="259"/>
      <c r="Y27" s="259"/>
      <c r="Z27" s="259"/>
      <c r="AA27" s="259"/>
      <c r="AB27" s="259"/>
      <c r="AC27" s="259"/>
      <c r="AD27" s="259"/>
      <c r="AE27" s="263">
        <f t="shared" si="3"/>
        <v>9784</v>
      </c>
      <c r="AF27" s="259"/>
      <c r="AG27" s="264">
        <f t="shared" si="0"/>
        <v>0</v>
      </c>
    </row>
    <row r="28" spans="1:33" s="265" customFormat="1" ht="12.75">
      <c r="A28" s="273"/>
      <c r="B28" s="260"/>
      <c r="C28" s="275"/>
      <c r="D28" s="275" t="s">
        <v>637</v>
      </c>
      <c r="E28" s="276">
        <v>5</v>
      </c>
      <c r="F28" s="277" t="s">
        <v>638</v>
      </c>
      <c r="G28" s="259"/>
      <c r="H28" s="259"/>
      <c r="I28" s="259">
        <v>160008</v>
      </c>
      <c r="J28" s="259"/>
      <c r="K28" s="259"/>
      <c r="L28" s="259"/>
      <c r="M28" s="259"/>
      <c r="N28" s="259"/>
      <c r="O28" s="259"/>
      <c r="P28" s="259"/>
      <c r="Q28" s="259"/>
      <c r="R28" s="259"/>
      <c r="S28" s="259"/>
      <c r="T28" s="263">
        <f t="shared" si="2"/>
        <v>160008</v>
      </c>
      <c r="U28" s="259"/>
      <c r="V28" s="259"/>
      <c r="W28" s="259">
        <v>160008</v>
      </c>
      <c r="X28" s="259"/>
      <c r="Y28" s="259"/>
      <c r="Z28" s="259"/>
      <c r="AA28" s="259"/>
      <c r="AB28" s="259"/>
      <c r="AC28" s="259"/>
      <c r="AD28" s="259"/>
      <c r="AE28" s="263">
        <f t="shared" si="3"/>
        <v>160008</v>
      </c>
      <c r="AF28" s="259"/>
      <c r="AG28" s="264">
        <f t="shared" si="0"/>
        <v>0</v>
      </c>
    </row>
    <row r="29" spans="1:33" s="265" customFormat="1" ht="12.75">
      <c r="A29" s="273"/>
      <c r="B29" s="274" t="s">
        <v>639</v>
      </c>
      <c r="C29" s="275" t="s">
        <v>640</v>
      </c>
      <c r="D29" s="280" t="s">
        <v>606</v>
      </c>
      <c r="E29" s="276">
        <v>5</v>
      </c>
      <c r="F29" s="277" t="s">
        <v>607</v>
      </c>
      <c r="G29" s="259"/>
      <c r="H29" s="259"/>
      <c r="I29" s="259">
        <v>-114319</v>
      </c>
      <c r="J29" s="259"/>
      <c r="K29" s="259"/>
      <c r="L29" s="259"/>
      <c r="M29" s="259"/>
      <c r="N29" s="259"/>
      <c r="O29" s="259"/>
      <c r="P29" s="259"/>
      <c r="Q29" s="259"/>
      <c r="R29" s="259"/>
      <c r="S29" s="259"/>
      <c r="T29" s="263">
        <f t="shared" si="2"/>
        <v>-114319</v>
      </c>
      <c r="U29" s="259"/>
      <c r="V29" s="259"/>
      <c r="W29" s="259"/>
      <c r="X29" s="259"/>
      <c r="Y29" s="259"/>
      <c r="Z29" s="259"/>
      <c r="AA29" s="259">
        <v>-114319</v>
      </c>
      <c r="AB29" s="259"/>
      <c r="AC29" s="259"/>
      <c r="AD29" s="259"/>
      <c r="AE29" s="263">
        <f t="shared" si="3"/>
        <v>-114319</v>
      </c>
      <c r="AF29" s="259"/>
      <c r="AG29" s="264">
        <f t="shared" si="0"/>
        <v>0</v>
      </c>
    </row>
    <row r="30" spans="1:33" s="265" customFormat="1" ht="12.75">
      <c r="A30" s="273"/>
      <c r="B30" s="274" t="s">
        <v>641</v>
      </c>
      <c r="C30" s="275" t="s">
        <v>640</v>
      </c>
      <c r="D30" s="280" t="s">
        <v>606</v>
      </c>
      <c r="E30" s="276">
        <v>5</v>
      </c>
      <c r="F30" s="277" t="s">
        <v>607</v>
      </c>
      <c r="G30" s="259"/>
      <c r="H30" s="259"/>
      <c r="I30" s="259">
        <v>114319</v>
      </c>
      <c r="J30" s="259"/>
      <c r="K30" s="259"/>
      <c r="L30" s="259"/>
      <c r="M30" s="259"/>
      <c r="N30" s="259"/>
      <c r="O30" s="259"/>
      <c r="P30" s="259"/>
      <c r="Q30" s="259"/>
      <c r="R30" s="259"/>
      <c r="S30" s="259"/>
      <c r="T30" s="263">
        <f t="shared" si="2"/>
        <v>114319</v>
      </c>
      <c r="U30" s="259"/>
      <c r="V30" s="259">
        <v>114319</v>
      </c>
      <c r="W30" s="259"/>
      <c r="X30" s="259"/>
      <c r="Y30" s="259"/>
      <c r="Z30" s="259"/>
      <c r="AA30" s="259"/>
      <c r="AB30" s="259"/>
      <c r="AC30" s="259"/>
      <c r="AD30" s="259"/>
      <c r="AE30" s="263">
        <f t="shared" si="3"/>
        <v>114319</v>
      </c>
      <c r="AF30" s="259"/>
      <c r="AG30" s="264">
        <f t="shared" si="0"/>
        <v>0</v>
      </c>
    </row>
    <row r="31" spans="1:33" s="270" customFormat="1" ht="13.5">
      <c r="A31" s="282"/>
      <c r="B31" s="420" t="s">
        <v>642</v>
      </c>
      <c r="C31" s="421"/>
      <c r="D31" s="421"/>
      <c r="E31" s="421"/>
      <c r="F31" s="422"/>
      <c r="G31" s="269">
        <f>SUM(G14:G30)</f>
        <v>273245</v>
      </c>
      <c r="H31" s="269">
        <f aca="true" t="shared" si="6" ref="H31:AF31">SUM(H14:H30)</f>
        <v>32155</v>
      </c>
      <c r="I31" s="269">
        <f t="shared" si="6"/>
        <v>671991</v>
      </c>
      <c r="J31" s="269">
        <f t="shared" si="6"/>
        <v>0</v>
      </c>
      <c r="K31" s="269">
        <f t="shared" si="6"/>
        <v>11173</v>
      </c>
      <c r="L31" s="269">
        <f t="shared" si="6"/>
        <v>0</v>
      </c>
      <c r="M31" s="269">
        <f t="shared" si="6"/>
        <v>0</v>
      </c>
      <c r="N31" s="269">
        <f t="shared" si="6"/>
        <v>0</v>
      </c>
      <c r="O31" s="269">
        <f t="shared" si="6"/>
        <v>0</v>
      </c>
      <c r="P31" s="269">
        <f t="shared" si="6"/>
        <v>0</v>
      </c>
      <c r="Q31" s="269">
        <f t="shared" si="6"/>
        <v>1684</v>
      </c>
      <c r="R31" s="269">
        <f t="shared" si="6"/>
        <v>0</v>
      </c>
      <c r="S31" s="269">
        <f t="shared" si="6"/>
        <v>0</v>
      </c>
      <c r="T31" s="269">
        <f t="shared" si="6"/>
        <v>990248</v>
      </c>
      <c r="U31" s="269">
        <f t="shared" si="6"/>
        <v>0</v>
      </c>
      <c r="V31" s="269">
        <f t="shared" si="6"/>
        <v>114319</v>
      </c>
      <c r="W31" s="269">
        <f t="shared" si="6"/>
        <v>675650</v>
      </c>
      <c r="X31" s="269">
        <f t="shared" si="6"/>
        <v>0</v>
      </c>
      <c r="Y31" s="269">
        <f t="shared" si="6"/>
        <v>0</v>
      </c>
      <c r="Z31" s="269">
        <f t="shared" si="6"/>
        <v>0</v>
      </c>
      <c r="AA31" s="269">
        <f t="shared" si="6"/>
        <v>0</v>
      </c>
      <c r="AB31" s="269">
        <f t="shared" si="6"/>
        <v>6802</v>
      </c>
      <c r="AC31" s="269">
        <f t="shared" si="6"/>
        <v>193477</v>
      </c>
      <c r="AD31" s="269">
        <f t="shared" si="6"/>
        <v>0</v>
      </c>
      <c r="AE31" s="269">
        <f t="shared" si="6"/>
        <v>990248</v>
      </c>
      <c r="AF31" s="269">
        <f t="shared" si="6"/>
        <v>0</v>
      </c>
      <c r="AG31" s="264">
        <f t="shared" si="0"/>
        <v>0</v>
      </c>
    </row>
    <row r="32" spans="1:33" s="265" customFormat="1" ht="12.75">
      <c r="A32" s="273"/>
      <c r="B32" s="260" t="s">
        <v>643</v>
      </c>
      <c r="C32" s="275" t="s">
        <v>644</v>
      </c>
      <c r="D32" s="275" t="s">
        <v>645</v>
      </c>
      <c r="E32" s="276">
        <v>4</v>
      </c>
      <c r="F32" s="277" t="s">
        <v>646</v>
      </c>
      <c r="G32" s="259"/>
      <c r="H32" s="259"/>
      <c r="I32" s="259"/>
      <c r="J32" s="259"/>
      <c r="K32" s="259">
        <v>8537</v>
      </c>
      <c r="L32" s="259"/>
      <c r="M32" s="259"/>
      <c r="N32" s="259"/>
      <c r="O32" s="259"/>
      <c r="P32" s="259"/>
      <c r="Q32" s="259"/>
      <c r="R32" s="259">
        <v>42625</v>
      </c>
      <c r="S32" s="259"/>
      <c r="T32" s="263">
        <f t="shared" si="2"/>
        <v>51162</v>
      </c>
      <c r="U32" s="259"/>
      <c r="V32" s="259"/>
      <c r="W32" s="259"/>
      <c r="X32" s="259"/>
      <c r="Y32" s="259"/>
      <c r="Z32" s="259"/>
      <c r="AA32" s="259"/>
      <c r="AB32" s="259">
        <v>51162</v>
      </c>
      <c r="AC32" s="259"/>
      <c r="AD32" s="259"/>
      <c r="AE32" s="263">
        <f t="shared" si="3"/>
        <v>51162</v>
      </c>
      <c r="AF32" s="259"/>
      <c r="AG32" s="264">
        <f t="shared" si="0"/>
        <v>0</v>
      </c>
    </row>
    <row r="33" spans="1:33" s="265" customFormat="1" ht="12.75">
      <c r="A33" s="273"/>
      <c r="B33" s="260" t="s">
        <v>647</v>
      </c>
      <c r="C33" s="275" t="s">
        <v>648</v>
      </c>
      <c r="D33" s="275" t="s">
        <v>649</v>
      </c>
      <c r="E33" s="276">
        <v>4</v>
      </c>
      <c r="F33" s="277" t="s">
        <v>650</v>
      </c>
      <c r="G33" s="259"/>
      <c r="H33" s="259"/>
      <c r="I33" s="259">
        <v>80000</v>
      </c>
      <c r="J33" s="259"/>
      <c r="K33" s="259"/>
      <c r="L33" s="259"/>
      <c r="M33" s="259"/>
      <c r="N33" s="259"/>
      <c r="O33" s="259"/>
      <c r="P33" s="259"/>
      <c r="Q33" s="259"/>
      <c r="R33" s="259"/>
      <c r="S33" s="259"/>
      <c r="T33" s="263">
        <f t="shared" si="2"/>
        <v>80000</v>
      </c>
      <c r="U33" s="259"/>
      <c r="V33" s="259"/>
      <c r="W33" s="259"/>
      <c r="X33" s="259"/>
      <c r="Y33" s="259"/>
      <c r="Z33" s="259"/>
      <c r="AA33" s="259"/>
      <c r="AB33" s="259">
        <v>80000</v>
      </c>
      <c r="AC33" s="259"/>
      <c r="AD33" s="259"/>
      <c r="AE33" s="263">
        <f t="shared" si="3"/>
        <v>80000</v>
      </c>
      <c r="AF33" s="259"/>
      <c r="AG33" s="264">
        <f t="shared" si="0"/>
        <v>0</v>
      </c>
    </row>
    <row r="34" spans="1:33" s="265" customFormat="1" ht="12.75">
      <c r="A34" s="273"/>
      <c r="B34" s="260" t="s">
        <v>651</v>
      </c>
      <c r="C34" s="275" t="s">
        <v>648</v>
      </c>
      <c r="D34" s="275" t="s">
        <v>652</v>
      </c>
      <c r="E34" s="276">
        <v>4</v>
      </c>
      <c r="F34" s="277" t="s">
        <v>653</v>
      </c>
      <c r="G34" s="259"/>
      <c r="H34" s="259"/>
      <c r="I34" s="259">
        <v>45000</v>
      </c>
      <c r="J34" s="259"/>
      <c r="K34" s="259"/>
      <c r="L34" s="259"/>
      <c r="M34" s="259"/>
      <c r="N34" s="259"/>
      <c r="O34" s="259"/>
      <c r="P34" s="259"/>
      <c r="Q34" s="259"/>
      <c r="R34" s="259"/>
      <c r="S34" s="259"/>
      <c r="T34" s="263">
        <f t="shared" si="2"/>
        <v>45000</v>
      </c>
      <c r="U34" s="259"/>
      <c r="V34" s="259"/>
      <c r="W34" s="259"/>
      <c r="X34" s="259"/>
      <c r="Y34" s="259"/>
      <c r="Z34" s="259"/>
      <c r="AA34" s="259"/>
      <c r="AB34" s="259">
        <v>45000</v>
      </c>
      <c r="AC34" s="259"/>
      <c r="AD34" s="259"/>
      <c r="AE34" s="263">
        <f t="shared" si="3"/>
        <v>45000</v>
      </c>
      <c r="AF34" s="259"/>
      <c r="AG34" s="264">
        <f t="shared" si="0"/>
        <v>0</v>
      </c>
    </row>
    <row r="35" spans="1:33" s="265" customFormat="1" ht="12.75">
      <c r="A35" s="273"/>
      <c r="B35" s="260" t="s">
        <v>654</v>
      </c>
      <c r="C35" s="275" t="s">
        <v>655</v>
      </c>
      <c r="D35" s="275" t="s">
        <v>656</v>
      </c>
      <c r="E35" s="276">
        <v>2</v>
      </c>
      <c r="F35" s="277" t="s">
        <v>657</v>
      </c>
      <c r="G35" s="259">
        <v>12676</v>
      </c>
      <c r="H35" s="259"/>
      <c r="I35" s="259"/>
      <c r="J35" s="259"/>
      <c r="K35" s="259"/>
      <c r="L35" s="259"/>
      <c r="M35" s="259"/>
      <c r="N35" s="259"/>
      <c r="O35" s="259"/>
      <c r="P35" s="259"/>
      <c r="Q35" s="259"/>
      <c r="R35" s="259"/>
      <c r="S35" s="259"/>
      <c r="T35" s="263">
        <f t="shared" si="2"/>
        <v>12676</v>
      </c>
      <c r="U35" s="259"/>
      <c r="V35" s="259"/>
      <c r="W35" s="259"/>
      <c r="X35" s="259"/>
      <c r="Y35" s="259"/>
      <c r="Z35" s="259"/>
      <c r="AA35" s="259"/>
      <c r="AB35" s="259">
        <v>12676</v>
      </c>
      <c r="AC35" s="259"/>
      <c r="AD35" s="259"/>
      <c r="AE35" s="263">
        <f t="shared" si="3"/>
        <v>12676</v>
      </c>
      <c r="AF35" s="259"/>
      <c r="AG35" s="264">
        <f t="shared" si="0"/>
        <v>0</v>
      </c>
    </row>
    <row r="36" spans="1:33" s="265" customFormat="1" ht="12.75">
      <c r="A36" s="273"/>
      <c r="B36" s="260" t="s">
        <v>658</v>
      </c>
      <c r="C36" s="275" t="s">
        <v>655</v>
      </c>
      <c r="D36" s="275" t="s">
        <v>659</v>
      </c>
      <c r="E36" s="276">
        <v>2</v>
      </c>
      <c r="F36" s="277" t="s">
        <v>660</v>
      </c>
      <c r="G36" s="259">
        <v>30869</v>
      </c>
      <c r="H36" s="259">
        <v>8273</v>
      </c>
      <c r="I36" s="259"/>
      <c r="J36" s="259"/>
      <c r="K36" s="259"/>
      <c r="L36" s="259"/>
      <c r="M36" s="259"/>
      <c r="N36" s="259"/>
      <c r="O36" s="259"/>
      <c r="P36" s="259"/>
      <c r="Q36" s="259"/>
      <c r="R36" s="259"/>
      <c r="S36" s="259"/>
      <c r="T36" s="263">
        <f t="shared" si="2"/>
        <v>39142</v>
      </c>
      <c r="U36" s="259"/>
      <c r="V36" s="259"/>
      <c r="W36" s="259"/>
      <c r="X36" s="259"/>
      <c r="Y36" s="259"/>
      <c r="Z36" s="259"/>
      <c r="AA36" s="259"/>
      <c r="AB36" s="259">
        <v>39142</v>
      </c>
      <c r="AC36" s="259"/>
      <c r="AD36" s="259"/>
      <c r="AE36" s="263">
        <f t="shared" si="3"/>
        <v>39142</v>
      </c>
      <c r="AF36" s="259"/>
      <c r="AG36" s="264">
        <f t="shared" si="0"/>
        <v>0</v>
      </c>
    </row>
    <row r="37" spans="1:33" s="265" customFormat="1" ht="12.75">
      <c r="A37" s="273"/>
      <c r="B37" s="260" t="s">
        <v>661</v>
      </c>
      <c r="C37" s="275" t="s">
        <v>662</v>
      </c>
      <c r="D37" s="275" t="s">
        <v>663</v>
      </c>
      <c r="E37" s="276">
        <v>4</v>
      </c>
      <c r="F37" s="277" t="s">
        <v>600</v>
      </c>
      <c r="G37" s="259">
        <v>58420</v>
      </c>
      <c r="H37" s="259">
        <v>18694</v>
      </c>
      <c r="I37" s="259">
        <v>39725</v>
      </c>
      <c r="J37" s="259"/>
      <c r="K37" s="259"/>
      <c r="L37" s="259"/>
      <c r="M37" s="259"/>
      <c r="N37" s="259"/>
      <c r="O37" s="259"/>
      <c r="P37" s="259"/>
      <c r="Q37" s="259"/>
      <c r="R37" s="259"/>
      <c r="S37" s="259"/>
      <c r="T37" s="263">
        <f t="shared" si="2"/>
        <v>116839</v>
      </c>
      <c r="U37" s="259"/>
      <c r="V37" s="259"/>
      <c r="W37" s="259"/>
      <c r="X37" s="259"/>
      <c r="Y37" s="259"/>
      <c r="Z37" s="259"/>
      <c r="AA37" s="259"/>
      <c r="AB37" s="259">
        <v>116839</v>
      </c>
      <c r="AC37" s="259"/>
      <c r="AD37" s="259"/>
      <c r="AE37" s="263">
        <f t="shared" si="3"/>
        <v>116839</v>
      </c>
      <c r="AF37" s="259"/>
      <c r="AG37" s="264">
        <f t="shared" si="0"/>
        <v>0</v>
      </c>
    </row>
    <row r="38" spans="1:33" s="265" customFormat="1" ht="12.75">
      <c r="A38" s="273"/>
      <c r="B38" s="274" t="s">
        <v>664</v>
      </c>
      <c r="C38" s="275" t="s">
        <v>665</v>
      </c>
      <c r="D38" s="275" t="s">
        <v>629</v>
      </c>
      <c r="E38" s="276">
        <v>5</v>
      </c>
      <c r="F38" s="277" t="s">
        <v>630</v>
      </c>
      <c r="G38" s="259"/>
      <c r="H38" s="259"/>
      <c r="I38" s="259">
        <v>338</v>
      </c>
      <c r="J38" s="259"/>
      <c r="K38" s="259"/>
      <c r="L38" s="259"/>
      <c r="M38" s="259"/>
      <c r="N38" s="259"/>
      <c r="O38" s="259"/>
      <c r="P38" s="259"/>
      <c r="Q38" s="259"/>
      <c r="R38" s="259"/>
      <c r="S38" s="259"/>
      <c r="T38" s="263">
        <f t="shared" si="2"/>
        <v>338</v>
      </c>
      <c r="U38" s="259"/>
      <c r="V38" s="259"/>
      <c r="W38" s="259">
        <v>338</v>
      </c>
      <c r="X38" s="259"/>
      <c r="Y38" s="259"/>
      <c r="Z38" s="259"/>
      <c r="AA38" s="259"/>
      <c r="AB38" s="259"/>
      <c r="AC38" s="259"/>
      <c r="AD38" s="259"/>
      <c r="AE38" s="263">
        <f t="shared" si="3"/>
        <v>338</v>
      </c>
      <c r="AF38" s="259"/>
      <c r="AG38" s="264">
        <f t="shared" si="0"/>
        <v>0</v>
      </c>
    </row>
    <row r="39" spans="1:33" s="265" customFormat="1" ht="12.75">
      <c r="A39" s="273"/>
      <c r="B39" s="260"/>
      <c r="C39" s="275"/>
      <c r="D39" s="275" t="s">
        <v>629</v>
      </c>
      <c r="E39" s="276">
        <v>5</v>
      </c>
      <c r="F39" s="277" t="s">
        <v>630</v>
      </c>
      <c r="G39" s="259"/>
      <c r="H39" s="259"/>
      <c r="I39" s="259">
        <v>2442</v>
      </c>
      <c r="J39" s="259"/>
      <c r="K39" s="259"/>
      <c r="L39" s="259"/>
      <c r="M39" s="259"/>
      <c r="N39" s="259"/>
      <c r="O39" s="259"/>
      <c r="P39" s="259"/>
      <c r="Q39" s="259"/>
      <c r="R39" s="259"/>
      <c r="S39" s="259"/>
      <c r="T39" s="263">
        <f t="shared" si="2"/>
        <v>2442</v>
      </c>
      <c r="U39" s="259"/>
      <c r="V39" s="259"/>
      <c r="W39" s="259">
        <v>2442</v>
      </c>
      <c r="X39" s="259"/>
      <c r="Y39" s="259"/>
      <c r="Z39" s="259"/>
      <c r="AA39" s="259"/>
      <c r="AB39" s="259"/>
      <c r="AC39" s="259"/>
      <c r="AD39" s="259"/>
      <c r="AE39" s="263">
        <f t="shared" si="3"/>
        <v>2442</v>
      </c>
      <c r="AF39" s="259"/>
      <c r="AG39" s="264">
        <f t="shared" si="0"/>
        <v>0</v>
      </c>
    </row>
    <row r="40" spans="1:33" s="265" customFormat="1" ht="12.75">
      <c r="A40" s="273"/>
      <c r="B40" s="260"/>
      <c r="C40" s="275"/>
      <c r="D40" s="275" t="s">
        <v>604</v>
      </c>
      <c r="E40" s="276">
        <v>5</v>
      </c>
      <c r="F40" s="277" t="s">
        <v>666</v>
      </c>
      <c r="G40" s="259"/>
      <c r="H40" s="259"/>
      <c r="I40" s="259">
        <v>10</v>
      </c>
      <c r="J40" s="259"/>
      <c r="K40" s="259"/>
      <c r="L40" s="259"/>
      <c r="M40" s="259"/>
      <c r="N40" s="259"/>
      <c r="O40" s="259"/>
      <c r="P40" s="259"/>
      <c r="Q40" s="259"/>
      <c r="R40" s="259"/>
      <c r="S40" s="259"/>
      <c r="T40" s="263">
        <f t="shared" si="2"/>
        <v>10</v>
      </c>
      <c r="U40" s="259"/>
      <c r="V40" s="259"/>
      <c r="W40" s="259">
        <v>10</v>
      </c>
      <c r="X40" s="259"/>
      <c r="Y40" s="259"/>
      <c r="Z40" s="259"/>
      <c r="AA40" s="259"/>
      <c r="AB40" s="259"/>
      <c r="AC40" s="259"/>
      <c r="AD40" s="259"/>
      <c r="AE40" s="263">
        <f t="shared" si="3"/>
        <v>10</v>
      </c>
      <c r="AF40" s="259"/>
      <c r="AG40" s="264">
        <f t="shared" si="0"/>
        <v>0</v>
      </c>
    </row>
    <row r="41" spans="1:33" s="265" customFormat="1" ht="12.75">
      <c r="A41" s="273"/>
      <c r="B41" s="260"/>
      <c r="C41" s="275"/>
      <c r="D41" s="275" t="s">
        <v>667</v>
      </c>
      <c r="E41" s="276">
        <v>5</v>
      </c>
      <c r="F41" s="277" t="s">
        <v>668</v>
      </c>
      <c r="G41" s="259"/>
      <c r="H41" s="259"/>
      <c r="I41" s="259"/>
      <c r="J41" s="259"/>
      <c r="K41" s="259"/>
      <c r="L41" s="259"/>
      <c r="M41" s="259"/>
      <c r="N41" s="259"/>
      <c r="O41" s="259"/>
      <c r="P41" s="259"/>
      <c r="Q41" s="259">
        <v>1670</v>
      </c>
      <c r="R41" s="259"/>
      <c r="S41" s="259"/>
      <c r="T41" s="263">
        <f t="shared" si="2"/>
        <v>1670</v>
      </c>
      <c r="U41" s="259"/>
      <c r="V41" s="259"/>
      <c r="W41" s="259">
        <v>1670</v>
      </c>
      <c r="X41" s="259"/>
      <c r="Y41" s="259"/>
      <c r="Z41" s="259"/>
      <c r="AA41" s="259"/>
      <c r="AB41" s="259"/>
      <c r="AC41" s="259"/>
      <c r="AD41" s="259"/>
      <c r="AE41" s="263">
        <f t="shared" si="3"/>
        <v>1670</v>
      </c>
      <c r="AF41" s="259"/>
      <c r="AG41" s="264">
        <f t="shared" si="0"/>
        <v>0</v>
      </c>
    </row>
    <row r="42" spans="1:33" s="265" customFormat="1" ht="12.75">
      <c r="A42" s="273"/>
      <c r="B42" s="260"/>
      <c r="C42" s="275"/>
      <c r="D42" s="280" t="s">
        <v>606</v>
      </c>
      <c r="E42" s="276">
        <v>5</v>
      </c>
      <c r="F42" s="277" t="s">
        <v>607</v>
      </c>
      <c r="G42" s="259"/>
      <c r="H42" s="259"/>
      <c r="I42" s="259">
        <v>2745</v>
      </c>
      <c r="J42" s="259"/>
      <c r="K42" s="259"/>
      <c r="L42" s="259"/>
      <c r="M42" s="259"/>
      <c r="N42" s="259"/>
      <c r="O42" s="259"/>
      <c r="P42" s="259"/>
      <c r="Q42" s="259"/>
      <c r="R42" s="259"/>
      <c r="S42" s="259"/>
      <c r="T42" s="263">
        <f t="shared" si="2"/>
        <v>2745</v>
      </c>
      <c r="U42" s="259"/>
      <c r="V42" s="259">
        <v>1691</v>
      </c>
      <c r="W42" s="259">
        <v>1054</v>
      </c>
      <c r="X42" s="259"/>
      <c r="Y42" s="259"/>
      <c r="Z42" s="259"/>
      <c r="AA42" s="259"/>
      <c r="AB42" s="259"/>
      <c r="AC42" s="259"/>
      <c r="AD42" s="259"/>
      <c r="AE42" s="263">
        <f t="shared" si="3"/>
        <v>2745</v>
      </c>
      <c r="AF42" s="259"/>
      <c r="AG42" s="264">
        <f t="shared" si="0"/>
        <v>0</v>
      </c>
    </row>
    <row r="43" spans="1:33" s="265" customFormat="1" ht="12.75">
      <c r="A43" s="273"/>
      <c r="B43" s="260"/>
      <c r="C43" s="275"/>
      <c r="D43" s="280" t="s">
        <v>606</v>
      </c>
      <c r="E43" s="276">
        <v>5</v>
      </c>
      <c r="F43" s="277" t="s">
        <v>669</v>
      </c>
      <c r="G43" s="259"/>
      <c r="H43" s="259"/>
      <c r="I43" s="259">
        <v>-270</v>
      </c>
      <c r="J43" s="259"/>
      <c r="K43" s="259"/>
      <c r="L43" s="259"/>
      <c r="M43" s="259"/>
      <c r="N43" s="259"/>
      <c r="O43" s="259"/>
      <c r="P43" s="259"/>
      <c r="Q43" s="259"/>
      <c r="R43" s="259"/>
      <c r="S43" s="259"/>
      <c r="T43" s="263">
        <f t="shared" si="2"/>
        <v>-270</v>
      </c>
      <c r="U43" s="259"/>
      <c r="V43" s="259">
        <v>-270</v>
      </c>
      <c r="W43" s="259"/>
      <c r="X43" s="259"/>
      <c r="Y43" s="259"/>
      <c r="Z43" s="259"/>
      <c r="AA43" s="259"/>
      <c r="AB43" s="259"/>
      <c r="AC43" s="259"/>
      <c r="AD43" s="259"/>
      <c r="AE43" s="263">
        <f t="shared" si="3"/>
        <v>-270</v>
      </c>
      <c r="AF43" s="259"/>
      <c r="AG43" s="264">
        <f t="shared" si="0"/>
        <v>0</v>
      </c>
    </row>
    <row r="44" spans="1:33" s="265" customFormat="1" ht="12.75">
      <c r="A44" s="273"/>
      <c r="B44" s="260"/>
      <c r="C44" s="275"/>
      <c r="D44" s="275" t="s">
        <v>618</v>
      </c>
      <c r="E44" s="276">
        <v>5</v>
      </c>
      <c r="F44" s="277" t="s">
        <v>670</v>
      </c>
      <c r="G44" s="259"/>
      <c r="H44" s="259"/>
      <c r="I44" s="259">
        <v>73217</v>
      </c>
      <c r="J44" s="259"/>
      <c r="K44" s="259"/>
      <c r="L44" s="259"/>
      <c r="M44" s="259"/>
      <c r="N44" s="259"/>
      <c r="O44" s="259"/>
      <c r="P44" s="259"/>
      <c r="Q44" s="259"/>
      <c r="R44" s="259"/>
      <c r="S44" s="259"/>
      <c r="T44" s="263">
        <f t="shared" si="2"/>
        <v>73217</v>
      </c>
      <c r="U44" s="259"/>
      <c r="V44" s="259"/>
      <c r="W44" s="259">
        <v>73217</v>
      </c>
      <c r="X44" s="259"/>
      <c r="Y44" s="259"/>
      <c r="Z44" s="259"/>
      <c r="AA44" s="259"/>
      <c r="AB44" s="259"/>
      <c r="AC44" s="259"/>
      <c r="AD44" s="259"/>
      <c r="AE44" s="263">
        <f t="shared" si="3"/>
        <v>73217</v>
      </c>
      <c r="AF44" s="259"/>
      <c r="AG44" s="264">
        <f t="shared" si="0"/>
        <v>0</v>
      </c>
    </row>
    <row r="45" spans="1:33" s="265" customFormat="1" ht="12.75">
      <c r="A45" s="273"/>
      <c r="B45" s="260"/>
      <c r="C45" s="275"/>
      <c r="D45" s="275" t="s">
        <v>618</v>
      </c>
      <c r="E45" s="276">
        <v>5</v>
      </c>
      <c r="F45" s="277" t="s">
        <v>671</v>
      </c>
      <c r="G45" s="259"/>
      <c r="H45" s="259"/>
      <c r="I45" s="259">
        <v>8983</v>
      </c>
      <c r="J45" s="259"/>
      <c r="K45" s="259"/>
      <c r="L45" s="259"/>
      <c r="M45" s="259"/>
      <c r="N45" s="259"/>
      <c r="O45" s="259"/>
      <c r="P45" s="259"/>
      <c r="Q45" s="259"/>
      <c r="R45" s="259"/>
      <c r="S45" s="259"/>
      <c r="T45" s="263">
        <f t="shared" si="2"/>
        <v>8983</v>
      </c>
      <c r="U45" s="259"/>
      <c r="V45" s="259"/>
      <c r="W45" s="259">
        <v>8983</v>
      </c>
      <c r="X45" s="259"/>
      <c r="Y45" s="259"/>
      <c r="Z45" s="259"/>
      <c r="AA45" s="259"/>
      <c r="AB45" s="259"/>
      <c r="AC45" s="259"/>
      <c r="AD45" s="259"/>
      <c r="AE45" s="263">
        <f t="shared" si="3"/>
        <v>8983</v>
      </c>
      <c r="AF45" s="259"/>
      <c r="AG45" s="264">
        <f t="shared" si="0"/>
        <v>0</v>
      </c>
    </row>
    <row r="46" spans="1:33" s="265" customFormat="1" ht="12.75">
      <c r="A46" s="273"/>
      <c r="B46" s="260"/>
      <c r="C46" s="275"/>
      <c r="D46" s="275" t="s">
        <v>618</v>
      </c>
      <c r="E46" s="276">
        <v>5</v>
      </c>
      <c r="F46" s="277" t="s">
        <v>672</v>
      </c>
      <c r="G46" s="259"/>
      <c r="H46" s="259"/>
      <c r="I46" s="259">
        <v>410</v>
      </c>
      <c r="J46" s="259"/>
      <c r="K46" s="259"/>
      <c r="L46" s="259"/>
      <c r="M46" s="259"/>
      <c r="N46" s="259"/>
      <c r="O46" s="259"/>
      <c r="P46" s="259"/>
      <c r="Q46" s="259"/>
      <c r="R46" s="259"/>
      <c r="S46" s="259"/>
      <c r="T46" s="263">
        <f t="shared" si="2"/>
        <v>410</v>
      </c>
      <c r="U46" s="259"/>
      <c r="V46" s="259"/>
      <c r="W46" s="259">
        <v>410</v>
      </c>
      <c r="X46" s="259"/>
      <c r="Y46" s="259"/>
      <c r="Z46" s="259"/>
      <c r="AA46" s="259"/>
      <c r="AB46" s="259"/>
      <c r="AC46" s="259"/>
      <c r="AD46" s="259"/>
      <c r="AE46" s="263">
        <f t="shared" si="3"/>
        <v>410</v>
      </c>
      <c r="AF46" s="259"/>
      <c r="AG46" s="264">
        <f t="shared" si="0"/>
        <v>0</v>
      </c>
    </row>
    <row r="47" spans="1:33" s="265" customFormat="1" ht="12.75">
      <c r="A47" s="273"/>
      <c r="B47" s="260"/>
      <c r="C47" s="275"/>
      <c r="D47" s="275" t="s">
        <v>618</v>
      </c>
      <c r="E47" s="276">
        <v>5</v>
      </c>
      <c r="F47" s="277" t="s">
        <v>673</v>
      </c>
      <c r="G47" s="259"/>
      <c r="H47" s="259"/>
      <c r="I47" s="259">
        <v>338</v>
      </c>
      <c r="J47" s="259"/>
      <c r="K47" s="259"/>
      <c r="L47" s="259"/>
      <c r="M47" s="259"/>
      <c r="N47" s="259"/>
      <c r="O47" s="259"/>
      <c r="P47" s="259"/>
      <c r="Q47" s="259"/>
      <c r="R47" s="259"/>
      <c r="S47" s="259"/>
      <c r="T47" s="263">
        <f t="shared" si="2"/>
        <v>338</v>
      </c>
      <c r="U47" s="259"/>
      <c r="V47" s="259"/>
      <c r="W47" s="259">
        <v>338</v>
      </c>
      <c r="X47" s="259"/>
      <c r="Y47" s="259"/>
      <c r="Z47" s="259"/>
      <c r="AA47" s="259"/>
      <c r="AB47" s="259"/>
      <c r="AC47" s="259"/>
      <c r="AD47" s="259"/>
      <c r="AE47" s="263">
        <f t="shared" si="3"/>
        <v>338</v>
      </c>
      <c r="AF47" s="259"/>
      <c r="AG47" s="264">
        <f t="shared" si="0"/>
        <v>0</v>
      </c>
    </row>
    <row r="48" spans="1:33" s="265" customFormat="1" ht="12.75">
      <c r="A48" s="273"/>
      <c r="B48" s="260"/>
      <c r="C48" s="275"/>
      <c r="D48" s="275" t="s">
        <v>637</v>
      </c>
      <c r="E48" s="276">
        <v>5</v>
      </c>
      <c r="F48" s="277" t="s">
        <v>638</v>
      </c>
      <c r="G48" s="259"/>
      <c r="H48" s="259"/>
      <c r="I48" s="259">
        <v>68823</v>
      </c>
      <c r="J48" s="259"/>
      <c r="K48" s="259"/>
      <c r="L48" s="259"/>
      <c r="M48" s="259"/>
      <c r="N48" s="259"/>
      <c r="O48" s="259"/>
      <c r="P48" s="259"/>
      <c r="Q48" s="259"/>
      <c r="R48" s="259"/>
      <c r="S48" s="259"/>
      <c r="T48" s="263">
        <f t="shared" si="2"/>
        <v>68823</v>
      </c>
      <c r="U48" s="259"/>
      <c r="V48" s="259"/>
      <c r="W48" s="259">
        <v>68823</v>
      </c>
      <c r="X48" s="259"/>
      <c r="Y48" s="259"/>
      <c r="Z48" s="259"/>
      <c r="AA48" s="259"/>
      <c r="AB48" s="259"/>
      <c r="AC48" s="259"/>
      <c r="AD48" s="259"/>
      <c r="AE48" s="263">
        <f t="shared" si="3"/>
        <v>68823</v>
      </c>
      <c r="AF48" s="259"/>
      <c r="AG48" s="264">
        <f t="shared" si="0"/>
        <v>0</v>
      </c>
    </row>
    <row r="49" spans="1:33" s="265" customFormat="1" ht="12.75">
      <c r="A49" s="273"/>
      <c r="B49" s="260"/>
      <c r="C49" s="275"/>
      <c r="D49" s="275" t="s">
        <v>674</v>
      </c>
      <c r="E49" s="276">
        <v>5</v>
      </c>
      <c r="F49" s="277" t="s">
        <v>675</v>
      </c>
      <c r="G49" s="259"/>
      <c r="H49" s="259"/>
      <c r="I49" s="259">
        <v>117000</v>
      </c>
      <c r="J49" s="259"/>
      <c r="K49" s="259"/>
      <c r="L49" s="259"/>
      <c r="M49" s="259"/>
      <c r="N49" s="259"/>
      <c r="O49" s="259"/>
      <c r="P49" s="259"/>
      <c r="Q49" s="259"/>
      <c r="R49" s="259"/>
      <c r="S49" s="259"/>
      <c r="T49" s="263">
        <f t="shared" si="2"/>
        <v>117000</v>
      </c>
      <c r="U49" s="259"/>
      <c r="V49" s="259"/>
      <c r="W49" s="259">
        <v>117000</v>
      </c>
      <c r="X49" s="259"/>
      <c r="Y49" s="259"/>
      <c r="Z49" s="259"/>
      <c r="AA49" s="259"/>
      <c r="AB49" s="259"/>
      <c r="AC49" s="259"/>
      <c r="AD49" s="259"/>
      <c r="AE49" s="263">
        <f t="shared" si="3"/>
        <v>117000</v>
      </c>
      <c r="AF49" s="259"/>
      <c r="AG49" s="264">
        <f t="shared" si="0"/>
        <v>0</v>
      </c>
    </row>
    <row r="50" spans="1:33" s="265" customFormat="1" ht="12.75">
      <c r="A50" s="273"/>
      <c r="B50" s="260"/>
      <c r="C50" s="275"/>
      <c r="D50" s="275" t="s">
        <v>635</v>
      </c>
      <c r="E50" s="276">
        <v>5</v>
      </c>
      <c r="F50" s="277" t="s">
        <v>636</v>
      </c>
      <c r="G50" s="259"/>
      <c r="H50" s="259"/>
      <c r="I50" s="259">
        <v>22906</v>
      </c>
      <c r="J50" s="259"/>
      <c r="K50" s="259"/>
      <c r="L50" s="259"/>
      <c r="M50" s="259"/>
      <c r="N50" s="259"/>
      <c r="O50" s="259"/>
      <c r="P50" s="259"/>
      <c r="Q50" s="259"/>
      <c r="R50" s="259"/>
      <c r="S50" s="259"/>
      <c r="T50" s="263">
        <f t="shared" si="2"/>
        <v>22906</v>
      </c>
      <c r="U50" s="259"/>
      <c r="V50" s="259"/>
      <c r="W50" s="259">
        <v>22906</v>
      </c>
      <c r="X50" s="259"/>
      <c r="Y50" s="259"/>
      <c r="Z50" s="259"/>
      <c r="AA50" s="259"/>
      <c r="AB50" s="259"/>
      <c r="AC50" s="259"/>
      <c r="AD50" s="259"/>
      <c r="AE50" s="263">
        <f t="shared" si="3"/>
        <v>22906</v>
      </c>
      <c r="AF50" s="259"/>
      <c r="AG50" s="264">
        <f t="shared" si="0"/>
        <v>0</v>
      </c>
    </row>
    <row r="51" spans="1:33" s="265" customFormat="1" ht="12.75">
      <c r="A51" s="273"/>
      <c r="B51" s="260"/>
      <c r="C51" s="275"/>
      <c r="D51" s="275" t="s">
        <v>676</v>
      </c>
      <c r="E51" s="276">
        <v>5</v>
      </c>
      <c r="F51" s="277" t="s">
        <v>677</v>
      </c>
      <c r="G51" s="259">
        <v>49</v>
      </c>
      <c r="H51" s="259">
        <v>1</v>
      </c>
      <c r="I51" s="259">
        <v>540</v>
      </c>
      <c r="J51" s="259"/>
      <c r="K51" s="259"/>
      <c r="L51" s="259"/>
      <c r="M51" s="259"/>
      <c r="N51" s="259"/>
      <c r="O51" s="259"/>
      <c r="P51" s="259"/>
      <c r="Q51" s="259"/>
      <c r="R51" s="259"/>
      <c r="S51" s="259"/>
      <c r="T51" s="263">
        <f t="shared" si="2"/>
        <v>590</v>
      </c>
      <c r="U51" s="259"/>
      <c r="V51" s="259">
        <v>590</v>
      </c>
      <c r="W51" s="259"/>
      <c r="X51" s="259"/>
      <c r="Y51" s="259"/>
      <c r="Z51" s="259"/>
      <c r="AA51" s="259"/>
      <c r="AB51" s="259"/>
      <c r="AC51" s="259"/>
      <c r="AD51" s="259"/>
      <c r="AE51" s="263">
        <f t="shared" si="3"/>
        <v>590</v>
      </c>
      <c r="AF51" s="259"/>
      <c r="AG51" s="264">
        <f t="shared" si="0"/>
        <v>0</v>
      </c>
    </row>
    <row r="52" spans="1:34" s="265" customFormat="1" ht="12.75">
      <c r="A52" s="273"/>
      <c r="B52" s="260"/>
      <c r="C52" s="275"/>
      <c r="D52" s="275"/>
      <c r="E52" s="276">
        <v>5</v>
      </c>
      <c r="F52" s="277" t="s">
        <v>678</v>
      </c>
      <c r="G52" s="259"/>
      <c r="H52" s="259"/>
      <c r="I52" s="259"/>
      <c r="J52" s="259"/>
      <c r="K52" s="259"/>
      <c r="L52" s="259"/>
      <c r="M52" s="259"/>
      <c r="N52" s="259"/>
      <c r="O52" s="259"/>
      <c r="P52" s="259"/>
      <c r="Q52" s="259">
        <v>594</v>
      </c>
      <c r="R52" s="259"/>
      <c r="S52" s="259"/>
      <c r="T52" s="263">
        <f t="shared" si="2"/>
        <v>594</v>
      </c>
      <c r="U52" s="259"/>
      <c r="V52" s="259"/>
      <c r="W52" s="259"/>
      <c r="X52" s="259"/>
      <c r="Y52" s="259"/>
      <c r="Z52" s="259">
        <v>594</v>
      </c>
      <c r="AA52" s="259"/>
      <c r="AB52" s="259"/>
      <c r="AC52" s="259"/>
      <c r="AD52" s="259"/>
      <c r="AE52" s="263">
        <f t="shared" si="3"/>
        <v>594</v>
      </c>
      <c r="AF52" s="259"/>
      <c r="AG52" s="264">
        <f t="shared" si="0"/>
        <v>0</v>
      </c>
      <c r="AH52" s="265">
        <f>SUM(AE38:AE52)</f>
        <v>299796</v>
      </c>
    </row>
    <row r="53" spans="1:33" s="265" customFormat="1" ht="12.75">
      <c r="A53" s="273"/>
      <c r="B53" s="274" t="s">
        <v>679</v>
      </c>
      <c r="C53" s="275" t="s">
        <v>665</v>
      </c>
      <c r="D53" s="283">
        <v>3012</v>
      </c>
      <c r="E53" s="276">
        <v>5</v>
      </c>
      <c r="F53" s="284" t="s">
        <v>680</v>
      </c>
      <c r="G53" s="259"/>
      <c r="H53" s="259"/>
      <c r="I53" s="259">
        <v>250000</v>
      </c>
      <c r="J53" s="259"/>
      <c r="K53" s="259"/>
      <c r="L53" s="259"/>
      <c r="M53" s="259"/>
      <c r="N53" s="259"/>
      <c r="O53" s="259"/>
      <c r="P53" s="259"/>
      <c r="Q53" s="259"/>
      <c r="R53" s="259"/>
      <c r="S53" s="259"/>
      <c r="T53" s="263">
        <f t="shared" si="2"/>
        <v>250000</v>
      </c>
      <c r="U53" s="259"/>
      <c r="V53" s="259"/>
      <c r="W53" s="259"/>
      <c r="X53" s="278">
        <v>250000</v>
      </c>
      <c r="Y53" s="259"/>
      <c r="Z53" s="259"/>
      <c r="AA53" s="259"/>
      <c r="AB53" s="259"/>
      <c r="AC53" s="259"/>
      <c r="AD53" s="259"/>
      <c r="AE53" s="263">
        <f t="shared" si="3"/>
        <v>250000</v>
      </c>
      <c r="AF53" s="259"/>
      <c r="AG53" s="264">
        <f t="shared" si="0"/>
        <v>0</v>
      </c>
    </row>
    <row r="54" spans="1:33" s="265" customFormat="1" ht="12.75">
      <c r="A54" s="273"/>
      <c r="B54" s="260"/>
      <c r="C54" s="275"/>
      <c r="D54" s="285">
        <v>2024</v>
      </c>
      <c r="E54" s="276">
        <v>5</v>
      </c>
      <c r="F54" s="284" t="s">
        <v>681</v>
      </c>
      <c r="G54" s="259">
        <v>1515</v>
      </c>
      <c r="H54" s="259">
        <v>485</v>
      </c>
      <c r="I54" s="259">
        <v>3000</v>
      </c>
      <c r="J54" s="259"/>
      <c r="K54" s="259"/>
      <c r="L54" s="259"/>
      <c r="M54" s="259"/>
      <c r="N54" s="259"/>
      <c r="O54" s="259"/>
      <c r="P54" s="259"/>
      <c r="Q54" s="259"/>
      <c r="R54" s="259"/>
      <c r="S54" s="259"/>
      <c r="T54" s="263">
        <f t="shared" si="2"/>
        <v>5000</v>
      </c>
      <c r="U54" s="259"/>
      <c r="V54" s="259"/>
      <c r="W54" s="259"/>
      <c r="X54" s="278">
        <v>5000</v>
      </c>
      <c r="Y54" s="259"/>
      <c r="Z54" s="259"/>
      <c r="AA54" s="259"/>
      <c r="AB54" s="259"/>
      <c r="AC54" s="259"/>
      <c r="AD54" s="259"/>
      <c r="AE54" s="263">
        <f t="shared" si="3"/>
        <v>5000</v>
      </c>
      <c r="AF54" s="259"/>
      <c r="AG54" s="264">
        <f t="shared" si="0"/>
        <v>0</v>
      </c>
    </row>
    <row r="55" spans="1:34" s="265" customFormat="1" ht="12.75">
      <c r="A55" s="273"/>
      <c r="B55" s="260"/>
      <c r="C55" s="275"/>
      <c r="D55" s="283">
        <v>3909</v>
      </c>
      <c r="E55" s="276">
        <v>5</v>
      </c>
      <c r="F55" s="284" t="s">
        <v>682</v>
      </c>
      <c r="G55" s="259"/>
      <c r="H55" s="259"/>
      <c r="I55" s="286">
        <v>-10796</v>
      </c>
      <c r="J55" s="259"/>
      <c r="K55" s="259">
        <v>10796</v>
      </c>
      <c r="L55" s="259"/>
      <c r="M55" s="259"/>
      <c r="N55" s="259"/>
      <c r="O55" s="259"/>
      <c r="P55" s="259"/>
      <c r="Q55" s="259"/>
      <c r="R55" s="259"/>
      <c r="S55" s="259"/>
      <c r="T55" s="263">
        <f t="shared" si="2"/>
        <v>0</v>
      </c>
      <c r="U55" s="259"/>
      <c r="V55" s="259"/>
      <c r="W55" s="259"/>
      <c r="X55" s="259"/>
      <c r="Y55" s="259"/>
      <c r="Z55" s="259"/>
      <c r="AA55" s="259"/>
      <c r="AB55" s="259"/>
      <c r="AC55" s="259"/>
      <c r="AD55" s="259"/>
      <c r="AE55" s="263">
        <f t="shared" si="3"/>
        <v>0</v>
      </c>
      <c r="AF55" s="259"/>
      <c r="AG55" s="264">
        <f t="shared" si="0"/>
        <v>0</v>
      </c>
      <c r="AH55" s="265">
        <f>SUM(AE53:AE55)</f>
        <v>255000</v>
      </c>
    </row>
    <row r="56" spans="1:33" s="265" customFormat="1" ht="12.75">
      <c r="A56" s="273"/>
      <c r="B56" s="274" t="s">
        <v>683</v>
      </c>
      <c r="C56" s="275" t="s">
        <v>665</v>
      </c>
      <c r="D56" s="285">
        <v>6904</v>
      </c>
      <c r="E56" s="276">
        <v>5</v>
      </c>
      <c r="F56" s="284" t="s">
        <v>684</v>
      </c>
      <c r="G56" s="259">
        <v>-8729</v>
      </c>
      <c r="H56" s="259">
        <v>-1350</v>
      </c>
      <c r="I56" s="259"/>
      <c r="J56" s="259"/>
      <c r="K56" s="259"/>
      <c r="L56" s="259"/>
      <c r="M56" s="259"/>
      <c r="N56" s="259"/>
      <c r="O56" s="259"/>
      <c r="P56" s="259"/>
      <c r="Q56" s="259"/>
      <c r="R56" s="259"/>
      <c r="S56" s="259"/>
      <c r="T56" s="263">
        <f t="shared" si="2"/>
        <v>-10079</v>
      </c>
      <c r="U56" s="259"/>
      <c r="V56" s="259"/>
      <c r="W56" s="259">
        <v>-10079</v>
      </c>
      <c r="X56" s="259"/>
      <c r="Y56" s="259"/>
      <c r="Z56" s="259"/>
      <c r="AA56" s="259"/>
      <c r="AB56" s="259"/>
      <c r="AC56" s="259"/>
      <c r="AD56" s="259"/>
      <c r="AE56" s="263">
        <f t="shared" si="3"/>
        <v>-10079</v>
      </c>
      <c r="AF56" s="259"/>
      <c r="AG56" s="264">
        <f t="shared" si="0"/>
        <v>0</v>
      </c>
    </row>
    <row r="57" spans="1:33" s="265" customFormat="1" ht="12.75">
      <c r="A57" s="273"/>
      <c r="B57" s="274" t="s">
        <v>685</v>
      </c>
      <c r="C57" s="275"/>
      <c r="D57" s="285">
        <v>6904</v>
      </c>
      <c r="E57" s="276">
        <v>5</v>
      </c>
      <c r="F57" s="284" t="s">
        <v>684</v>
      </c>
      <c r="G57" s="259">
        <v>7771</v>
      </c>
      <c r="H57" s="259">
        <v>2308</v>
      </c>
      <c r="I57" s="259"/>
      <c r="J57" s="259"/>
      <c r="K57" s="259"/>
      <c r="L57" s="259"/>
      <c r="M57" s="259"/>
      <c r="N57" s="259"/>
      <c r="O57" s="259"/>
      <c r="P57" s="259"/>
      <c r="Q57" s="259"/>
      <c r="R57" s="259"/>
      <c r="S57" s="259"/>
      <c r="T57" s="263">
        <f t="shared" si="2"/>
        <v>10079</v>
      </c>
      <c r="U57" s="259"/>
      <c r="V57" s="259"/>
      <c r="W57" s="259">
        <v>10079</v>
      </c>
      <c r="X57" s="259"/>
      <c r="Y57" s="259"/>
      <c r="Z57" s="259"/>
      <c r="AA57" s="259"/>
      <c r="AB57" s="259"/>
      <c r="AC57" s="259"/>
      <c r="AD57" s="259"/>
      <c r="AE57" s="263">
        <f t="shared" si="3"/>
        <v>10079</v>
      </c>
      <c r="AF57" s="259"/>
      <c r="AG57" s="264">
        <f t="shared" si="0"/>
        <v>0</v>
      </c>
    </row>
    <row r="58" spans="1:33" s="265" customFormat="1" ht="12.75">
      <c r="A58" s="273"/>
      <c r="B58" s="274" t="s">
        <v>686</v>
      </c>
      <c r="C58" s="275" t="s">
        <v>687</v>
      </c>
      <c r="D58" s="285">
        <v>4007</v>
      </c>
      <c r="E58" s="276">
        <v>5</v>
      </c>
      <c r="F58" s="287" t="s">
        <v>688</v>
      </c>
      <c r="G58" s="259"/>
      <c r="H58" s="259"/>
      <c r="I58" s="259">
        <v>258</v>
      </c>
      <c r="J58" s="259"/>
      <c r="K58" s="259"/>
      <c r="L58" s="259"/>
      <c r="M58" s="259"/>
      <c r="N58" s="259"/>
      <c r="O58" s="259"/>
      <c r="P58" s="259"/>
      <c r="Q58" s="259"/>
      <c r="R58" s="259"/>
      <c r="S58" s="259"/>
      <c r="T58" s="263">
        <f t="shared" si="2"/>
        <v>258</v>
      </c>
      <c r="U58" s="259"/>
      <c r="V58" s="259"/>
      <c r="W58" s="259">
        <v>258</v>
      </c>
      <c r="X58" s="259"/>
      <c r="Y58" s="259"/>
      <c r="Z58" s="259"/>
      <c r="AA58" s="259"/>
      <c r="AB58" s="259"/>
      <c r="AC58" s="259"/>
      <c r="AD58" s="259"/>
      <c r="AE58" s="263">
        <f t="shared" si="3"/>
        <v>258</v>
      </c>
      <c r="AF58" s="259"/>
      <c r="AG58" s="264">
        <f t="shared" si="0"/>
        <v>0</v>
      </c>
    </row>
    <row r="59" spans="1:33" s="265" customFormat="1" ht="12.75">
      <c r="A59" s="273"/>
      <c r="B59" s="281"/>
      <c r="C59" s="275"/>
      <c r="D59" s="275" t="s">
        <v>618</v>
      </c>
      <c r="E59" s="276">
        <v>5</v>
      </c>
      <c r="F59" s="284" t="s">
        <v>689</v>
      </c>
      <c r="G59" s="259"/>
      <c r="H59" s="259"/>
      <c r="I59" s="259"/>
      <c r="J59" s="259"/>
      <c r="K59" s="259"/>
      <c r="L59" s="259"/>
      <c r="M59" s="259"/>
      <c r="N59" s="259"/>
      <c r="O59" s="259"/>
      <c r="P59" s="259"/>
      <c r="Q59" s="259">
        <v>81903</v>
      </c>
      <c r="R59" s="259"/>
      <c r="S59" s="259"/>
      <c r="T59" s="263">
        <f t="shared" si="2"/>
        <v>81903</v>
      </c>
      <c r="U59" s="259"/>
      <c r="V59" s="259"/>
      <c r="W59" s="259">
        <v>81903</v>
      </c>
      <c r="X59" s="259"/>
      <c r="Y59" s="259"/>
      <c r="Z59" s="259"/>
      <c r="AA59" s="259"/>
      <c r="AB59" s="259"/>
      <c r="AC59" s="259"/>
      <c r="AD59" s="259"/>
      <c r="AE59" s="263">
        <f t="shared" si="3"/>
        <v>81903</v>
      </c>
      <c r="AF59" s="259"/>
      <c r="AG59" s="264">
        <f t="shared" si="0"/>
        <v>0</v>
      </c>
    </row>
    <row r="60" spans="1:33" s="265" customFormat="1" ht="12.75">
      <c r="A60" s="273"/>
      <c r="B60" s="281"/>
      <c r="C60" s="275"/>
      <c r="D60" s="285" t="s">
        <v>690</v>
      </c>
      <c r="E60" s="276">
        <v>5</v>
      </c>
      <c r="F60" s="287" t="s">
        <v>691</v>
      </c>
      <c r="G60" s="259"/>
      <c r="H60" s="259"/>
      <c r="I60" s="259">
        <v>1889</v>
      </c>
      <c r="J60" s="259"/>
      <c r="K60" s="259"/>
      <c r="L60" s="259"/>
      <c r="M60" s="259"/>
      <c r="N60" s="259"/>
      <c r="O60" s="259"/>
      <c r="P60" s="259"/>
      <c r="Q60" s="259"/>
      <c r="R60" s="259"/>
      <c r="S60" s="259"/>
      <c r="T60" s="263">
        <f t="shared" si="2"/>
        <v>1889</v>
      </c>
      <c r="U60" s="259"/>
      <c r="V60" s="259"/>
      <c r="W60" s="278">
        <v>1889</v>
      </c>
      <c r="X60" s="259"/>
      <c r="Y60" s="259"/>
      <c r="Z60" s="259"/>
      <c r="AA60" s="259"/>
      <c r="AB60" s="259"/>
      <c r="AC60" s="259"/>
      <c r="AD60" s="259"/>
      <c r="AE60" s="263">
        <f t="shared" si="3"/>
        <v>1889</v>
      </c>
      <c r="AF60" s="259"/>
      <c r="AG60" s="264">
        <f t="shared" si="0"/>
        <v>0</v>
      </c>
    </row>
    <row r="61" spans="1:33" s="265" customFormat="1" ht="12.75">
      <c r="A61" s="273"/>
      <c r="B61" s="281"/>
      <c r="C61" s="275"/>
      <c r="D61" s="275" t="s">
        <v>674</v>
      </c>
      <c r="E61" s="276">
        <v>5</v>
      </c>
      <c r="F61" s="284" t="s">
        <v>692</v>
      </c>
      <c r="G61" s="259"/>
      <c r="H61" s="259"/>
      <c r="I61" s="259">
        <v>371219</v>
      </c>
      <c r="J61" s="259"/>
      <c r="K61" s="259"/>
      <c r="L61" s="259"/>
      <c r="M61" s="259"/>
      <c r="N61" s="259"/>
      <c r="O61" s="259"/>
      <c r="P61" s="259"/>
      <c r="Q61" s="259"/>
      <c r="R61" s="259"/>
      <c r="S61" s="259"/>
      <c r="T61" s="263">
        <f t="shared" si="2"/>
        <v>371219</v>
      </c>
      <c r="U61" s="259"/>
      <c r="V61" s="259"/>
      <c r="W61" s="259">
        <v>371219</v>
      </c>
      <c r="X61" s="259"/>
      <c r="Y61" s="259"/>
      <c r="Z61" s="259"/>
      <c r="AA61" s="259"/>
      <c r="AB61" s="259"/>
      <c r="AC61" s="259"/>
      <c r="AD61" s="259"/>
      <c r="AE61" s="263">
        <f t="shared" si="3"/>
        <v>371219</v>
      </c>
      <c r="AF61" s="259"/>
      <c r="AG61" s="264">
        <f t="shared" si="0"/>
        <v>0</v>
      </c>
    </row>
    <row r="62" spans="1:33" s="265" customFormat="1" ht="12.75">
      <c r="A62" s="273"/>
      <c r="B62" s="281"/>
      <c r="C62" s="275"/>
      <c r="D62" s="275" t="s">
        <v>629</v>
      </c>
      <c r="E62" s="276">
        <v>5</v>
      </c>
      <c r="F62" s="284" t="s">
        <v>693</v>
      </c>
      <c r="G62" s="259"/>
      <c r="H62" s="259"/>
      <c r="I62" s="259">
        <v>40</v>
      </c>
      <c r="J62" s="259"/>
      <c r="K62" s="259"/>
      <c r="L62" s="259"/>
      <c r="M62" s="259"/>
      <c r="N62" s="259"/>
      <c r="O62" s="259"/>
      <c r="P62" s="259"/>
      <c r="Q62" s="259"/>
      <c r="R62" s="259"/>
      <c r="S62" s="259"/>
      <c r="T62" s="263">
        <f t="shared" si="2"/>
        <v>40</v>
      </c>
      <c r="U62" s="259"/>
      <c r="V62" s="259"/>
      <c r="W62" s="259">
        <v>40</v>
      </c>
      <c r="X62" s="259"/>
      <c r="Y62" s="259"/>
      <c r="Z62" s="259"/>
      <c r="AA62" s="259"/>
      <c r="AB62" s="259"/>
      <c r="AC62" s="259"/>
      <c r="AD62" s="259"/>
      <c r="AE62" s="263">
        <f t="shared" si="3"/>
        <v>40</v>
      </c>
      <c r="AF62" s="259"/>
      <c r="AG62" s="264">
        <f t="shared" si="0"/>
        <v>0</v>
      </c>
    </row>
    <row r="63" spans="1:34" s="265" customFormat="1" ht="12.75">
      <c r="A63" s="273"/>
      <c r="B63" s="281"/>
      <c r="C63" s="275"/>
      <c r="D63" s="288">
        <v>2022</v>
      </c>
      <c r="E63" s="276">
        <v>5</v>
      </c>
      <c r="F63" s="289" t="s">
        <v>694</v>
      </c>
      <c r="G63" s="259"/>
      <c r="H63" s="259"/>
      <c r="I63" s="259">
        <v>25342</v>
      </c>
      <c r="J63" s="259"/>
      <c r="K63" s="259"/>
      <c r="L63" s="259"/>
      <c r="M63" s="259">
        <v>19190</v>
      </c>
      <c r="N63" s="259"/>
      <c r="O63" s="259"/>
      <c r="P63" s="259"/>
      <c r="Q63" s="259"/>
      <c r="R63" s="259"/>
      <c r="S63" s="259"/>
      <c r="T63" s="263">
        <f t="shared" si="2"/>
        <v>44532</v>
      </c>
      <c r="U63" s="259"/>
      <c r="V63" s="259">
        <v>44532</v>
      </c>
      <c r="W63" s="259"/>
      <c r="X63" s="259"/>
      <c r="Y63" s="259"/>
      <c r="Z63" s="259"/>
      <c r="AA63" s="259"/>
      <c r="AB63" s="259"/>
      <c r="AC63" s="259"/>
      <c r="AD63" s="259"/>
      <c r="AE63" s="263">
        <f t="shared" si="3"/>
        <v>44532</v>
      </c>
      <c r="AF63" s="259"/>
      <c r="AG63" s="264">
        <f t="shared" si="0"/>
        <v>0</v>
      </c>
      <c r="AH63" s="265">
        <f>SUM(AE58:AE63)</f>
        <v>499841</v>
      </c>
    </row>
    <row r="64" spans="1:33" s="270" customFormat="1" ht="13.5">
      <c r="A64" s="282"/>
      <c r="B64" s="420" t="s">
        <v>695</v>
      </c>
      <c r="C64" s="421"/>
      <c r="D64" s="421"/>
      <c r="E64" s="421"/>
      <c r="F64" s="422"/>
      <c r="G64" s="269">
        <f>SUM(G32:G63)</f>
        <v>102571</v>
      </c>
      <c r="H64" s="269">
        <f aca="true" t="shared" si="7" ref="H64:AF64">SUM(H32:H63)</f>
        <v>28411</v>
      </c>
      <c r="I64" s="269">
        <f t="shared" si="7"/>
        <v>1103159</v>
      </c>
      <c r="J64" s="269">
        <f t="shared" si="7"/>
        <v>0</v>
      </c>
      <c r="K64" s="269">
        <f t="shared" si="7"/>
        <v>19333</v>
      </c>
      <c r="L64" s="269">
        <f t="shared" si="7"/>
        <v>0</v>
      </c>
      <c r="M64" s="269">
        <f t="shared" si="7"/>
        <v>19190</v>
      </c>
      <c r="N64" s="269">
        <f t="shared" si="7"/>
        <v>0</v>
      </c>
      <c r="O64" s="269">
        <f t="shared" si="7"/>
        <v>0</v>
      </c>
      <c r="P64" s="269">
        <f t="shared" si="7"/>
        <v>0</v>
      </c>
      <c r="Q64" s="269">
        <f t="shared" si="7"/>
        <v>84167</v>
      </c>
      <c r="R64" s="269">
        <f t="shared" si="7"/>
        <v>42625</v>
      </c>
      <c r="S64" s="269">
        <f t="shared" si="7"/>
        <v>0</v>
      </c>
      <c r="T64" s="269">
        <f t="shared" si="7"/>
        <v>1399456</v>
      </c>
      <c r="U64" s="269">
        <f t="shared" si="7"/>
        <v>0</v>
      </c>
      <c r="V64" s="269">
        <f t="shared" si="7"/>
        <v>46543</v>
      </c>
      <c r="W64" s="269">
        <f t="shared" si="7"/>
        <v>752500</v>
      </c>
      <c r="X64" s="269">
        <f t="shared" si="7"/>
        <v>255000</v>
      </c>
      <c r="Y64" s="269">
        <f t="shared" si="7"/>
        <v>0</v>
      </c>
      <c r="Z64" s="269">
        <f t="shared" si="7"/>
        <v>594</v>
      </c>
      <c r="AA64" s="269">
        <f t="shared" si="7"/>
        <v>0</v>
      </c>
      <c r="AB64" s="269">
        <f>SUM(AB32:AB63)</f>
        <v>344819</v>
      </c>
      <c r="AC64" s="269">
        <f t="shared" si="7"/>
        <v>0</v>
      </c>
      <c r="AD64" s="269">
        <f t="shared" si="7"/>
        <v>0</v>
      </c>
      <c r="AE64" s="269">
        <f t="shared" si="7"/>
        <v>1399456</v>
      </c>
      <c r="AF64" s="269">
        <f t="shared" si="7"/>
        <v>0</v>
      </c>
      <c r="AG64" s="264">
        <f>AE64-T64</f>
        <v>0</v>
      </c>
    </row>
    <row r="65" spans="1:33" s="265" customFormat="1" ht="12.75">
      <c r="A65" s="273"/>
      <c r="B65" s="260" t="s">
        <v>696</v>
      </c>
      <c r="C65" s="275" t="s">
        <v>697</v>
      </c>
      <c r="D65" s="275"/>
      <c r="E65" s="276">
        <v>2</v>
      </c>
      <c r="F65" s="259" t="s">
        <v>698</v>
      </c>
      <c r="G65" s="259">
        <v>-10840</v>
      </c>
      <c r="H65" s="259">
        <v>-3662</v>
      </c>
      <c r="I65" s="259"/>
      <c r="J65" s="259"/>
      <c r="K65" s="259"/>
      <c r="L65" s="259"/>
      <c r="M65" s="259"/>
      <c r="N65" s="259"/>
      <c r="O65" s="259"/>
      <c r="P65" s="259"/>
      <c r="Q65" s="259"/>
      <c r="R65" s="259"/>
      <c r="S65" s="259"/>
      <c r="T65" s="263">
        <f t="shared" si="2"/>
        <v>-14502</v>
      </c>
      <c r="U65" s="259"/>
      <c r="V65" s="259"/>
      <c r="W65" s="259"/>
      <c r="X65" s="259"/>
      <c r="Y65" s="259"/>
      <c r="Z65" s="259"/>
      <c r="AA65" s="259"/>
      <c r="AB65" s="259">
        <v>-14502</v>
      </c>
      <c r="AC65" s="259"/>
      <c r="AD65" s="259"/>
      <c r="AE65" s="263">
        <f t="shared" si="3"/>
        <v>-14502</v>
      </c>
      <c r="AF65" s="259"/>
      <c r="AG65" s="264">
        <f t="shared" si="0"/>
        <v>0</v>
      </c>
    </row>
    <row r="66" spans="1:33" s="265" customFormat="1" ht="12.75">
      <c r="A66" s="273"/>
      <c r="B66" s="260" t="s">
        <v>699</v>
      </c>
      <c r="C66" s="275" t="s">
        <v>700</v>
      </c>
      <c r="D66" s="275"/>
      <c r="E66" s="276">
        <v>4</v>
      </c>
      <c r="F66" s="277" t="s">
        <v>701</v>
      </c>
      <c r="G66" s="259"/>
      <c r="H66" s="259"/>
      <c r="I66" s="259">
        <v>11000</v>
      </c>
      <c r="J66" s="259"/>
      <c r="K66" s="259"/>
      <c r="L66" s="259"/>
      <c r="M66" s="259"/>
      <c r="N66" s="259"/>
      <c r="O66" s="259"/>
      <c r="P66" s="259"/>
      <c r="Q66" s="259"/>
      <c r="R66" s="259"/>
      <c r="S66" s="259"/>
      <c r="T66" s="263">
        <f t="shared" si="2"/>
        <v>11000</v>
      </c>
      <c r="U66" s="259"/>
      <c r="V66" s="259"/>
      <c r="W66" s="259"/>
      <c r="X66" s="259"/>
      <c r="Y66" s="259"/>
      <c r="Z66" s="259"/>
      <c r="AA66" s="259"/>
      <c r="AB66" s="259">
        <v>11000</v>
      </c>
      <c r="AC66" s="259"/>
      <c r="AD66" s="259"/>
      <c r="AE66" s="263">
        <f t="shared" si="3"/>
        <v>11000</v>
      </c>
      <c r="AF66" s="259"/>
      <c r="AG66" s="264">
        <f t="shared" si="0"/>
        <v>0</v>
      </c>
    </row>
    <row r="67" spans="1:33" s="265" customFormat="1" ht="12.75">
      <c r="A67" s="273"/>
      <c r="B67" s="274" t="s">
        <v>702</v>
      </c>
      <c r="C67" s="275" t="s">
        <v>703</v>
      </c>
      <c r="D67" s="275"/>
      <c r="E67" s="276">
        <v>5</v>
      </c>
      <c r="F67" s="277" t="s">
        <v>704</v>
      </c>
      <c r="G67" s="259"/>
      <c r="H67" s="259"/>
      <c r="I67" s="259"/>
      <c r="J67" s="259"/>
      <c r="K67" s="259"/>
      <c r="L67" s="259"/>
      <c r="M67" s="259"/>
      <c r="N67" s="259"/>
      <c r="O67" s="259"/>
      <c r="P67" s="259"/>
      <c r="Q67" s="259"/>
      <c r="R67" s="259"/>
      <c r="S67" s="259"/>
      <c r="T67" s="263">
        <f t="shared" si="2"/>
        <v>0</v>
      </c>
      <c r="U67" s="259"/>
      <c r="V67" s="259"/>
      <c r="W67" s="259"/>
      <c r="X67" s="259"/>
      <c r="Y67" s="259"/>
      <c r="Z67" s="259"/>
      <c r="AA67" s="259"/>
      <c r="AB67" s="259"/>
      <c r="AC67" s="259"/>
      <c r="AD67" s="259"/>
      <c r="AE67" s="263">
        <f t="shared" si="3"/>
        <v>0</v>
      </c>
      <c r="AF67" s="259"/>
      <c r="AG67" s="264">
        <f t="shared" si="0"/>
        <v>0</v>
      </c>
    </row>
    <row r="68" spans="1:33" s="265" customFormat="1" ht="12.75">
      <c r="A68" s="273"/>
      <c r="B68" s="274" t="s">
        <v>705</v>
      </c>
      <c r="C68" s="275" t="s">
        <v>706</v>
      </c>
      <c r="D68" s="290">
        <v>2030</v>
      </c>
      <c r="E68" s="276">
        <v>5</v>
      </c>
      <c r="F68" s="291" t="s">
        <v>707</v>
      </c>
      <c r="G68" s="259"/>
      <c r="H68" s="259"/>
      <c r="I68" s="259"/>
      <c r="J68" s="259"/>
      <c r="K68" s="259"/>
      <c r="L68" s="259"/>
      <c r="M68" s="259"/>
      <c r="N68" s="259"/>
      <c r="O68" s="259"/>
      <c r="P68" s="259"/>
      <c r="Q68" s="259">
        <v>9050</v>
      </c>
      <c r="R68" s="259"/>
      <c r="S68" s="259"/>
      <c r="T68" s="263">
        <f t="shared" si="2"/>
        <v>9050</v>
      </c>
      <c r="U68" s="259"/>
      <c r="V68" s="259"/>
      <c r="W68" s="259"/>
      <c r="X68" s="259"/>
      <c r="Y68" s="259"/>
      <c r="Z68" s="259"/>
      <c r="AA68" s="259">
        <v>9050</v>
      </c>
      <c r="AB68" s="259"/>
      <c r="AC68" s="259"/>
      <c r="AD68" s="259"/>
      <c r="AE68" s="263">
        <f t="shared" si="3"/>
        <v>9050</v>
      </c>
      <c r="AF68" s="259"/>
      <c r="AG68" s="264">
        <f t="shared" si="0"/>
        <v>0</v>
      </c>
    </row>
    <row r="69" spans="1:33" s="265" customFormat="1" ht="12.75">
      <c r="A69" s="273"/>
      <c r="B69" s="274"/>
      <c r="C69" s="275"/>
      <c r="D69" s="280" t="s">
        <v>708</v>
      </c>
      <c r="E69" s="276">
        <v>5</v>
      </c>
      <c r="F69" s="292" t="s">
        <v>709</v>
      </c>
      <c r="G69" s="259"/>
      <c r="H69" s="259"/>
      <c r="I69" s="259">
        <v>994</v>
      </c>
      <c r="J69" s="259"/>
      <c r="K69" s="259"/>
      <c r="L69" s="259"/>
      <c r="M69" s="259"/>
      <c r="N69" s="259"/>
      <c r="O69" s="259"/>
      <c r="P69" s="259"/>
      <c r="Q69" s="259"/>
      <c r="R69" s="259"/>
      <c r="S69" s="259"/>
      <c r="T69" s="263">
        <f t="shared" si="2"/>
        <v>994</v>
      </c>
      <c r="U69" s="259"/>
      <c r="V69" s="259"/>
      <c r="W69" s="259">
        <v>994</v>
      </c>
      <c r="X69" s="259"/>
      <c r="Y69" s="259"/>
      <c r="Z69" s="259"/>
      <c r="AA69" s="259"/>
      <c r="AB69" s="259"/>
      <c r="AC69" s="259"/>
      <c r="AD69" s="259"/>
      <c r="AE69" s="263">
        <f t="shared" si="3"/>
        <v>994</v>
      </c>
      <c r="AF69" s="259"/>
      <c r="AG69" s="264">
        <f t="shared" si="0"/>
        <v>0</v>
      </c>
    </row>
    <row r="70" spans="1:33" s="265" customFormat="1" ht="12.75">
      <c r="A70" s="273"/>
      <c r="B70" s="274"/>
      <c r="C70" s="275"/>
      <c r="D70" s="280" t="s">
        <v>708</v>
      </c>
      <c r="E70" s="276">
        <v>5</v>
      </c>
      <c r="F70" s="292" t="s">
        <v>710</v>
      </c>
      <c r="G70" s="259"/>
      <c r="H70" s="259"/>
      <c r="I70" s="259">
        <v>47</v>
      </c>
      <c r="J70" s="259"/>
      <c r="K70" s="259"/>
      <c r="L70" s="259"/>
      <c r="M70" s="259"/>
      <c r="N70" s="259"/>
      <c r="O70" s="259"/>
      <c r="P70" s="259"/>
      <c r="Q70" s="259"/>
      <c r="R70" s="259"/>
      <c r="S70" s="259"/>
      <c r="T70" s="263">
        <f t="shared" si="2"/>
        <v>47</v>
      </c>
      <c r="U70" s="259"/>
      <c r="V70" s="259"/>
      <c r="W70" s="259">
        <v>47</v>
      </c>
      <c r="X70" s="259"/>
      <c r="Y70" s="259"/>
      <c r="Z70" s="259"/>
      <c r="AA70" s="259"/>
      <c r="AB70" s="259"/>
      <c r="AC70" s="259"/>
      <c r="AD70" s="259"/>
      <c r="AE70" s="263">
        <f t="shared" si="3"/>
        <v>47</v>
      </c>
      <c r="AF70" s="259"/>
      <c r="AG70" s="264">
        <f t="shared" si="0"/>
        <v>0</v>
      </c>
    </row>
    <row r="71" spans="1:33" s="265" customFormat="1" ht="12.75">
      <c r="A71" s="273"/>
      <c r="B71" s="274"/>
      <c r="C71" s="275"/>
      <c r="D71" s="280" t="s">
        <v>711</v>
      </c>
      <c r="E71" s="276">
        <v>5</v>
      </c>
      <c r="F71" s="277" t="s">
        <v>712</v>
      </c>
      <c r="G71" s="259"/>
      <c r="H71" s="259"/>
      <c r="I71" s="259">
        <v>1469</v>
      </c>
      <c r="J71" s="259"/>
      <c r="K71" s="259"/>
      <c r="L71" s="259"/>
      <c r="M71" s="259"/>
      <c r="N71" s="259"/>
      <c r="O71" s="259"/>
      <c r="P71" s="259"/>
      <c r="Q71" s="259"/>
      <c r="R71" s="259"/>
      <c r="S71" s="259"/>
      <c r="T71" s="263">
        <f t="shared" si="2"/>
        <v>1469</v>
      </c>
      <c r="U71" s="259"/>
      <c r="V71" s="259"/>
      <c r="W71" s="259">
        <v>1469</v>
      </c>
      <c r="X71" s="259"/>
      <c r="Y71" s="259"/>
      <c r="Z71" s="259"/>
      <c r="AA71" s="259"/>
      <c r="AB71" s="259"/>
      <c r="AC71" s="259"/>
      <c r="AD71" s="259"/>
      <c r="AE71" s="263">
        <f t="shared" si="3"/>
        <v>1469</v>
      </c>
      <c r="AF71" s="259"/>
      <c r="AG71" s="264">
        <f t="shared" si="0"/>
        <v>0</v>
      </c>
    </row>
    <row r="72" spans="1:33" s="265" customFormat="1" ht="12.75">
      <c r="A72" s="273"/>
      <c r="B72" s="274"/>
      <c r="C72" s="275"/>
      <c r="D72" s="275" t="s">
        <v>674</v>
      </c>
      <c r="E72" s="276">
        <v>5</v>
      </c>
      <c r="F72" s="284" t="s">
        <v>713</v>
      </c>
      <c r="G72" s="259"/>
      <c r="H72" s="259"/>
      <c r="I72" s="259">
        <v>39000</v>
      </c>
      <c r="J72" s="259"/>
      <c r="K72" s="259"/>
      <c r="L72" s="259"/>
      <c r="M72" s="259"/>
      <c r="N72" s="259"/>
      <c r="O72" s="259"/>
      <c r="P72" s="259"/>
      <c r="Q72" s="259"/>
      <c r="R72" s="259"/>
      <c r="S72" s="259"/>
      <c r="T72" s="263">
        <f t="shared" si="2"/>
        <v>39000</v>
      </c>
      <c r="U72" s="259"/>
      <c r="V72" s="259"/>
      <c r="W72" s="259">
        <v>39000</v>
      </c>
      <c r="X72" s="259"/>
      <c r="Y72" s="259"/>
      <c r="Z72" s="259"/>
      <c r="AA72" s="259"/>
      <c r="AB72" s="259"/>
      <c r="AC72" s="259"/>
      <c r="AD72" s="259"/>
      <c r="AE72" s="263">
        <f t="shared" si="3"/>
        <v>39000</v>
      </c>
      <c r="AF72" s="259"/>
      <c r="AG72" s="264">
        <f t="shared" si="0"/>
        <v>0</v>
      </c>
    </row>
    <row r="73" spans="1:34" s="265" customFormat="1" ht="12.75">
      <c r="A73" s="273"/>
      <c r="B73" s="274"/>
      <c r="C73" s="275"/>
      <c r="D73" s="275" t="s">
        <v>637</v>
      </c>
      <c r="E73" s="276">
        <v>5</v>
      </c>
      <c r="F73" s="284" t="s">
        <v>714</v>
      </c>
      <c r="G73" s="259"/>
      <c r="H73" s="259"/>
      <c r="I73" s="259">
        <v>542</v>
      </c>
      <c r="J73" s="259"/>
      <c r="K73" s="259"/>
      <c r="L73" s="259"/>
      <c r="M73" s="259"/>
      <c r="N73" s="259"/>
      <c r="O73" s="259"/>
      <c r="P73" s="259"/>
      <c r="Q73" s="259"/>
      <c r="R73" s="259"/>
      <c r="S73" s="259"/>
      <c r="T73" s="263">
        <f t="shared" si="2"/>
        <v>542</v>
      </c>
      <c r="U73" s="259"/>
      <c r="V73" s="259"/>
      <c r="W73" s="259">
        <v>542</v>
      </c>
      <c r="X73" s="259"/>
      <c r="Y73" s="259"/>
      <c r="Z73" s="259"/>
      <c r="AA73" s="259"/>
      <c r="AB73" s="259"/>
      <c r="AC73" s="259"/>
      <c r="AD73" s="259"/>
      <c r="AE73" s="263">
        <f t="shared" si="3"/>
        <v>542</v>
      </c>
      <c r="AF73" s="259"/>
      <c r="AG73" s="264">
        <f t="shared" si="0"/>
        <v>0</v>
      </c>
      <c r="AH73" s="265">
        <f>SUM(AE68:AE73)</f>
        <v>51102</v>
      </c>
    </row>
    <row r="74" spans="1:33" s="265" customFormat="1" ht="12.75">
      <c r="A74" s="273"/>
      <c r="B74" s="274" t="s">
        <v>715</v>
      </c>
      <c r="C74" s="275" t="s">
        <v>716</v>
      </c>
      <c r="D74" s="280" t="s">
        <v>717</v>
      </c>
      <c r="E74" s="276">
        <v>5</v>
      </c>
      <c r="F74" s="291" t="s">
        <v>718</v>
      </c>
      <c r="G74" s="259"/>
      <c r="H74" s="259"/>
      <c r="I74" s="259"/>
      <c r="J74" s="259"/>
      <c r="K74" s="259"/>
      <c r="L74" s="259"/>
      <c r="M74" s="259"/>
      <c r="N74" s="259"/>
      <c r="O74" s="259"/>
      <c r="P74" s="259"/>
      <c r="Q74" s="259">
        <v>10491</v>
      </c>
      <c r="R74" s="259"/>
      <c r="S74" s="259"/>
      <c r="T74" s="263">
        <f t="shared" si="2"/>
        <v>10491</v>
      </c>
      <c r="U74" s="259"/>
      <c r="V74" s="259"/>
      <c r="W74" s="259"/>
      <c r="X74" s="259"/>
      <c r="Y74" s="259"/>
      <c r="Z74" s="259"/>
      <c r="AA74" s="259">
        <v>10491</v>
      </c>
      <c r="AB74" s="259"/>
      <c r="AC74" s="259"/>
      <c r="AD74" s="259"/>
      <c r="AE74" s="263">
        <f t="shared" si="3"/>
        <v>10491</v>
      </c>
      <c r="AF74" s="259"/>
      <c r="AG74" s="264">
        <f t="shared" si="0"/>
        <v>0</v>
      </c>
    </row>
    <row r="75" spans="1:33" s="265" customFormat="1" ht="12.75">
      <c r="A75" s="273"/>
      <c r="B75" s="274"/>
      <c r="C75" s="275"/>
      <c r="D75" s="275" t="s">
        <v>618</v>
      </c>
      <c r="E75" s="276">
        <v>5</v>
      </c>
      <c r="F75" s="284" t="s">
        <v>719</v>
      </c>
      <c r="G75" s="259"/>
      <c r="H75" s="259"/>
      <c r="I75" s="259">
        <v>3624</v>
      </c>
      <c r="J75" s="259"/>
      <c r="K75" s="259"/>
      <c r="L75" s="259"/>
      <c r="M75" s="259"/>
      <c r="N75" s="259"/>
      <c r="O75" s="259"/>
      <c r="P75" s="259"/>
      <c r="Q75" s="259"/>
      <c r="R75" s="259"/>
      <c r="S75" s="259"/>
      <c r="T75" s="263">
        <f t="shared" si="2"/>
        <v>3624</v>
      </c>
      <c r="U75" s="259"/>
      <c r="V75" s="259"/>
      <c r="W75" s="259">
        <v>3624</v>
      </c>
      <c r="X75" s="259"/>
      <c r="Y75" s="259"/>
      <c r="Z75" s="259"/>
      <c r="AA75" s="259"/>
      <c r="AB75" s="259"/>
      <c r="AC75" s="259"/>
      <c r="AD75" s="259"/>
      <c r="AE75" s="263">
        <f t="shared" si="3"/>
        <v>3624</v>
      </c>
      <c r="AF75" s="259"/>
      <c r="AG75" s="264">
        <f t="shared" si="0"/>
        <v>0</v>
      </c>
    </row>
    <row r="76" spans="1:33" s="265" customFormat="1" ht="12.75">
      <c r="A76" s="273"/>
      <c r="B76" s="274"/>
      <c r="C76" s="275"/>
      <c r="D76" s="280" t="s">
        <v>606</v>
      </c>
      <c r="E76" s="276">
        <v>5</v>
      </c>
      <c r="F76" s="277" t="s">
        <v>720</v>
      </c>
      <c r="G76" s="259">
        <v>2392</v>
      </c>
      <c r="H76" s="259">
        <v>674</v>
      </c>
      <c r="I76" s="259">
        <v>39873</v>
      </c>
      <c r="J76" s="259"/>
      <c r="K76" s="259">
        <v>1533</v>
      </c>
      <c r="L76" s="259"/>
      <c r="M76" s="259"/>
      <c r="N76" s="259"/>
      <c r="O76" s="259"/>
      <c r="P76" s="259"/>
      <c r="Q76" s="259"/>
      <c r="R76" s="259"/>
      <c r="S76" s="259"/>
      <c r="T76" s="263">
        <f t="shared" si="2"/>
        <v>44472</v>
      </c>
      <c r="U76" s="259"/>
      <c r="V76" s="259">
        <v>22555</v>
      </c>
      <c r="W76" s="259">
        <v>21917</v>
      </c>
      <c r="X76" s="259"/>
      <c r="Y76" s="259"/>
      <c r="Z76" s="259"/>
      <c r="AA76" s="259"/>
      <c r="AB76" s="259"/>
      <c r="AC76" s="259"/>
      <c r="AD76" s="259"/>
      <c r="AE76" s="263">
        <f t="shared" si="3"/>
        <v>44472</v>
      </c>
      <c r="AF76" s="259"/>
      <c r="AG76" s="264">
        <f t="shared" si="0"/>
        <v>0</v>
      </c>
    </row>
    <row r="77" spans="1:33" s="265" customFormat="1" ht="12.75">
      <c r="A77" s="273"/>
      <c r="B77" s="274"/>
      <c r="C77" s="275"/>
      <c r="D77" s="275" t="s">
        <v>674</v>
      </c>
      <c r="E77" s="276">
        <v>5</v>
      </c>
      <c r="F77" s="284" t="s">
        <v>721</v>
      </c>
      <c r="G77" s="259"/>
      <c r="H77" s="259"/>
      <c r="I77" s="259">
        <v>39000</v>
      </c>
      <c r="J77" s="259"/>
      <c r="K77" s="259"/>
      <c r="L77" s="259"/>
      <c r="M77" s="259"/>
      <c r="N77" s="259"/>
      <c r="O77" s="259"/>
      <c r="P77" s="259"/>
      <c r="Q77" s="259"/>
      <c r="R77" s="259"/>
      <c r="S77" s="259"/>
      <c r="T77" s="263">
        <f t="shared" si="2"/>
        <v>39000</v>
      </c>
      <c r="U77" s="259"/>
      <c r="V77" s="259"/>
      <c r="W77" s="259">
        <v>39000</v>
      </c>
      <c r="X77" s="259"/>
      <c r="Y77" s="259"/>
      <c r="Z77" s="259"/>
      <c r="AA77" s="259"/>
      <c r="AB77" s="259"/>
      <c r="AC77" s="259"/>
      <c r="AD77" s="259"/>
      <c r="AE77" s="263">
        <f t="shared" si="3"/>
        <v>39000</v>
      </c>
      <c r="AF77" s="259"/>
      <c r="AG77" s="264">
        <f t="shared" si="0"/>
        <v>0</v>
      </c>
    </row>
    <row r="78" spans="1:33" s="265" customFormat="1" ht="12.75">
      <c r="A78" s="273"/>
      <c r="B78" s="274"/>
      <c r="C78" s="275"/>
      <c r="D78" s="280"/>
      <c r="E78" s="276">
        <v>5</v>
      </c>
      <c r="F78" s="277" t="s">
        <v>722</v>
      </c>
      <c r="G78" s="259"/>
      <c r="H78" s="259"/>
      <c r="I78" s="259">
        <v>228698</v>
      </c>
      <c r="J78" s="259"/>
      <c r="K78" s="259"/>
      <c r="L78" s="259"/>
      <c r="M78" s="259"/>
      <c r="N78" s="259"/>
      <c r="O78" s="259"/>
      <c r="P78" s="259"/>
      <c r="Q78" s="259"/>
      <c r="R78" s="259"/>
      <c r="S78" s="259"/>
      <c r="T78" s="263">
        <f t="shared" si="2"/>
        <v>228698</v>
      </c>
      <c r="U78" s="259"/>
      <c r="V78" s="259"/>
      <c r="W78" s="259"/>
      <c r="X78" s="259"/>
      <c r="Y78" s="259"/>
      <c r="Z78" s="259">
        <v>228698</v>
      </c>
      <c r="AA78" s="259"/>
      <c r="AB78" s="259"/>
      <c r="AC78" s="259"/>
      <c r="AD78" s="259"/>
      <c r="AE78" s="263">
        <f t="shared" si="3"/>
        <v>228698</v>
      </c>
      <c r="AF78" s="259"/>
      <c r="AG78" s="264">
        <f t="shared" si="0"/>
        <v>0</v>
      </c>
    </row>
    <row r="79" spans="1:33" s="265" customFormat="1" ht="12.75">
      <c r="A79" s="273"/>
      <c r="B79" s="274"/>
      <c r="C79" s="275"/>
      <c r="D79" s="280" t="s">
        <v>723</v>
      </c>
      <c r="E79" s="276">
        <v>5</v>
      </c>
      <c r="F79" s="293" t="s">
        <v>724</v>
      </c>
      <c r="G79" s="259"/>
      <c r="H79" s="259"/>
      <c r="I79" s="259">
        <v>400</v>
      </c>
      <c r="J79" s="259"/>
      <c r="K79" s="259"/>
      <c r="L79" s="259"/>
      <c r="M79" s="259"/>
      <c r="N79" s="259"/>
      <c r="O79" s="259"/>
      <c r="P79" s="259"/>
      <c r="Q79" s="259"/>
      <c r="R79" s="259"/>
      <c r="S79" s="259"/>
      <c r="T79" s="263">
        <f t="shared" si="2"/>
        <v>400</v>
      </c>
      <c r="U79" s="259"/>
      <c r="V79" s="259">
        <v>400</v>
      </c>
      <c r="W79" s="259"/>
      <c r="X79" s="259"/>
      <c r="Y79" s="259"/>
      <c r="Z79" s="259"/>
      <c r="AA79" s="259"/>
      <c r="AB79" s="259"/>
      <c r="AC79" s="259"/>
      <c r="AD79" s="259"/>
      <c r="AE79" s="263">
        <f t="shared" si="3"/>
        <v>400</v>
      </c>
      <c r="AF79" s="259"/>
      <c r="AG79" s="264">
        <f t="shared" si="0"/>
        <v>0</v>
      </c>
    </row>
    <row r="80" spans="1:34" s="265" customFormat="1" ht="12.75">
      <c r="A80" s="273"/>
      <c r="B80" s="274"/>
      <c r="C80" s="275"/>
      <c r="D80" s="280" t="s">
        <v>725</v>
      </c>
      <c r="E80" s="276">
        <v>5</v>
      </c>
      <c r="F80" s="293" t="s">
        <v>726</v>
      </c>
      <c r="G80" s="259"/>
      <c r="H80" s="259"/>
      <c r="I80" s="259">
        <v>750</v>
      </c>
      <c r="J80" s="259"/>
      <c r="K80" s="259"/>
      <c r="L80" s="259"/>
      <c r="M80" s="259"/>
      <c r="N80" s="259"/>
      <c r="O80" s="259"/>
      <c r="P80" s="259"/>
      <c r="Q80" s="259"/>
      <c r="R80" s="259"/>
      <c r="S80" s="259"/>
      <c r="T80" s="263">
        <f t="shared" si="2"/>
        <v>750</v>
      </c>
      <c r="U80" s="259"/>
      <c r="V80" s="259"/>
      <c r="W80" s="259">
        <v>750</v>
      </c>
      <c r="X80" s="259"/>
      <c r="Y80" s="259"/>
      <c r="Z80" s="259"/>
      <c r="AA80" s="259"/>
      <c r="AB80" s="259"/>
      <c r="AC80" s="259"/>
      <c r="AD80" s="259"/>
      <c r="AE80" s="263">
        <f t="shared" si="3"/>
        <v>750</v>
      </c>
      <c r="AF80" s="259"/>
      <c r="AG80" s="264">
        <f t="shared" si="0"/>
        <v>0</v>
      </c>
      <c r="AH80" s="265">
        <f>SUM(AE74:AE80)</f>
        <v>327435</v>
      </c>
    </row>
    <row r="81" spans="1:33" s="265" customFormat="1" ht="12.75">
      <c r="A81" s="273"/>
      <c r="B81" s="274" t="s">
        <v>727</v>
      </c>
      <c r="C81" s="275" t="s">
        <v>716</v>
      </c>
      <c r="D81" s="280" t="s">
        <v>728</v>
      </c>
      <c r="E81" s="276">
        <v>5</v>
      </c>
      <c r="F81" s="277" t="s">
        <v>729</v>
      </c>
      <c r="G81" s="259"/>
      <c r="H81" s="259"/>
      <c r="I81" s="259">
        <v>2000</v>
      </c>
      <c r="J81" s="259"/>
      <c r="K81" s="259"/>
      <c r="L81" s="259">
        <v>5000</v>
      </c>
      <c r="M81" s="259"/>
      <c r="N81" s="259"/>
      <c r="O81" s="259"/>
      <c r="P81" s="259"/>
      <c r="Q81" s="259">
        <v>3000</v>
      </c>
      <c r="R81" s="259"/>
      <c r="S81" s="259"/>
      <c r="T81" s="263">
        <f t="shared" si="2"/>
        <v>10000</v>
      </c>
      <c r="U81" s="259"/>
      <c r="V81" s="259"/>
      <c r="W81" s="259"/>
      <c r="X81" s="278">
        <v>10000</v>
      </c>
      <c r="Y81" s="259"/>
      <c r="Z81" s="259"/>
      <c r="AA81" s="259"/>
      <c r="AB81" s="259"/>
      <c r="AC81" s="259"/>
      <c r="AD81" s="259"/>
      <c r="AE81" s="263">
        <f t="shared" si="3"/>
        <v>10000</v>
      </c>
      <c r="AF81" s="259"/>
      <c r="AG81" s="264">
        <f t="shared" si="0"/>
        <v>0</v>
      </c>
    </row>
    <row r="82" spans="1:33" s="265" customFormat="1" ht="12.75">
      <c r="A82" s="273"/>
      <c r="B82" s="274" t="s">
        <v>730</v>
      </c>
      <c r="C82" s="275" t="s">
        <v>716</v>
      </c>
      <c r="D82" s="275" t="s">
        <v>663</v>
      </c>
      <c r="E82" s="276">
        <v>5</v>
      </c>
      <c r="F82" s="284" t="s">
        <v>731</v>
      </c>
      <c r="G82" s="259">
        <v>-58420</v>
      </c>
      <c r="H82" s="259">
        <v>-18694</v>
      </c>
      <c r="I82" s="259">
        <v>-39725</v>
      </c>
      <c r="J82" s="259"/>
      <c r="K82" s="259">
        <v>116839</v>
      </c>
      <c r="L82" s="259"/>
      <c r="M82" s="259"/>
      <c r="N82" s="259"/>
      <c r="O82" s="259"/>
      <c r="P82" s="259"/>
      <c r="Q82" s="259"/>
      <c r="R82" s="259"/>
      <c r="S82" s="259"/>
      <c r="T82" s="263">
        <f t="shared" si="2"/>
        <v>0</v>
      </c>
      <c r="U82" s="259"/>
      <c r="V82" s="259"/>
      <c r="W82" s="259"/>
      <c r="X82" s="259"/>
      <c r="Y82" s="259"/>
      <c r="Z82" s="259"/>
      <c r="AA82" s="259"/>
      <c r="AB82" s="259"/>
      <c r="AC82" s="259"/>
      <c r="AD82" s="259"/>
      <c r="AE82" s="263">
        <f t="shared" si="3"/>
        <v>0</v>
      </c>
      <c r="AF82" s="259"/>
      <c r="AG82" s="264">
        <f t="shared" si="0"/>
        <v>0</v>
      </c>
    </row>
    <row r="83" spans="1:33" s="265" customFormat="1" ht="12.75">
      <c r="A83" s="273"/>
      <c r="B83" s="274"/>
      <c r="C83" s="275"/>
      <c r="D83" s="280"/>
      <c r="E83" s="276">
        <v>5</v>
      </c>
      <c r="F83" s="277" t="s">
        <v>732</v>
      </c>
      <c r="G83" s="259"/>
      <c r="H83" s="259"/>
      <c r="I83" s="259">
        <v>-16565</v>
      </c>
      <c r="J83" s="259"/>
      <c r="K83" s="259">
        <v>16565</v>
      </c>
      <c r="L83" s="259"/>
      <c r="M83" s="259"/>
      <c r="N83" s="259"/>
      <c r="O83" s="259"/>
      <c r="P83" s="259"/>
      <c r="Q83" s="259"/>
      <c r="R83" s="259"/>
      <c r="S83" s="259"/>
      <c r="T83" s="263">
        <f t="shared" si="2"/>
        <v>0</v>
      </c>
      <c r="U83" s="259"/>
      <c r="V83" s="259"/>
      <c r="W83" s="259"/>
      <c r="X83" s="259"/>
      <c r="Y83" s="259"/>
      <c r="Z83" s="259"/>
      <c r="AA83" s="259"/>
      <c r="AB83" s="259"/>
      <c r="AC83" s="259"/>
      <c r="AD83" s="259"/>
      <c r="AE83" s="263">
        <f t="shared" si="3"/>
        <v>0</v>
      </c>
      <c r="AF83" s="259"/>
      <c r="AG83" s="264">
        <f t="shared" si="0"/>
        <v>0</v>
      </c>
    </row>
    <row r="84" spans="1:33" s="265" customFormat="1" ht="12.75">
      <c r="A84" s="273"/>
      <c r="B84" s="274" t="s">
        <v>733</v>
      </c>
      <c r="C84" s="275" t="s">
        <v>734</v>
      </c>
      <c r="D84" s="280" t="s">
        <v>674</v>
      </c>
      <c r="E84" s="276">
        <v>5</v>
      </c>
      <c r="F84" s="284" t="s">
        <v>721</v>
      </c>
      <c r="G84" s="259"/>
      <c r="H84" s="259"/>
      <c r="I84" s="259">
        <v>92804</v>
      </c>
      <c r="J84" s="259"/>
      <c r="K84" s="259"/>
      <c r="L84" s="259"/>
      <c r="M84" s="259"/>
      <c r="N84" s="259"/>
      <c r="O84" s="259"/>
      <c r="P84" s="259"/>
      <c r="Q84" s="259"/>
      <c r="R84" s="259"/>
      <c r="S84" s="259"/>
      <c r="T84" s="263">
        <f t="shared" si="2"/>
        <v>92804</v>
      </c>
      <c r="U84" s="259"/>
      <c r="V84" s="259"/>
      <c r="W84" s="259">
        <v>92804</v>
      </c>
      <c r="X84" s="259"/>
      <c r="Y84" s="259"/>
      <c r="Z84" s="259"/>
      <c r="AA84" s="259"/>
      <c r="AB84" s="259"/>
      <c r="AC84" s="259"/>
      <c r="AD84" s="259"/>
      <c r="AE84" s="263">
        <f t="shared" si="3"/>
        <v>92804</v>
      </c>
      <c r="AF84" s="259"/>
      <c r="AG84" s="264">
        <f t="shared" si="0"/>
        <v>0</v>
      </c>
    </row>
    <row r="85" spans="1:33" s="265" customFormat="1" ht="12.75">
      <c r="A85" s="273"/>
      <c r="B85" s="274"/>
      <c r="C85" s="275"/>
      <c r="D85" s="280" t="s">
        <v>735</v>
      </c>
      <c r="E85" s="276">
        <v>5</v>
      </c>
      <c r="F85" s="284" t="s">
        <v>736</v>
      </c>
      <c r="G85" s="259"/>
      <c r="H85" s="259"/>
      <c r="I85" s="259">
        <v>316428</v>
      </c>
      <c r="J85" s="259"/>
      <c r="K85" s="259"/>
      <c r="L85" s="259"/>
      <c r="M85" s="259"/>
      <c r="N85" s="259"/>
      <c r="O85" s="259"/>
      <c r="P85" s="259"/>
      <c r="Q85" s="259"/>
      <c r="R85" s="259"/>
      <c r="S85" s="259"/>
      <c r="T85" s="263">
        <f t="shared" si="2"/>
        <v>316428</v>
      </c>
      <c r="U85" s="259"/>
      <c r="V85" s="259"/>
      <c r="W85" s="259">
        <v>316428</v>
      </c>
      <c r="X85" s="259"/>
      <c r="Y85" s="259"/>
      <c r="Z85" s="259"/>
      <c r="AA85" s="259"/>
      <c r="AB85" s="259"/>
      <c r="AC85" s="259"/>
      <c r="AD85" s="259"/>
      <c r="AE85" s="263">
        <f t="shared" si="3"/>
        <v>316428</v>
      </c>
      <c r="AF85" s="259"/>
      <c r="AG85" s="264">
        <f t="shared" si="0"/>
        <v>0</v>
      </c>
    </row>
    <row r="86" spans="1:34" s="265" customFormat="1" ht="12.75">
      <c r="A86" s="273"/>
      <c r="B86" s="274"/>
      <c r="C86" s="275"/>
      <c r="D86" s="275" t="s">
        <v>618</v>
      </c>
      <c r="E86" s="276">
        <v>5</v>
      </c>
      <c r="F86" s="284" t="s">
        <v>719</v>
      </c>
      <c r="G86" s="259"/>
      <c r="H86" s="259"/>
      <c r="I86" s="259">
        <v>51037</v>
      </c>
      <c r="J86" s="259"/>
      <c r="K86" s="259"/>
      <c r="L86" s="259"/>
      <c r="M86" s="259"/>
      <c r="N86" s="259"/>
      <c r="O86" s="259"/>
      <c r="P86" s="259"/>
      <c r="Q86" s="259"/>
      <c r="R86" s="259"/>
      <c r="S86" s="259"/>
      <c r="T86" s="263">
        <f t="shared" si="2"/>
        <v>51037</v>
      </c>
      <c r="U86" s="259"/>
      <c r="V86" s="259"/>
      <c r="W86" s="259">
        <v>51037</v>
      </c>
      <c r="X86" s="259"/>
      <c r="Y86" s="259"/>
      <c r="Z86" s="259"/>
      <c r="AA86" s="259"/>
      <c r="AB86" s="259"/>
      <c r="AC86" s="259"/>
      <c r="AD86" s="259"/>
      <c r="AE86" s="263">
        <f t="shared" si="3"/>
        <v>51037</v>
      </c>
      <c r="AF86" s="259"/>
      <c r="AG86" s="264">
        <f t="shared" si="0"/>
        <v>0</v>
      </c>
      <c r="AH86" s="265">
        <f>SUM(AE84:AE86)</f>
        <v>460269</v>
      </c>
    </row>
    <row r="87" spans="1:33" s="265" customFormat="1" ht="12.75">
      <c r="A87" s="273"/>
      <c r="B87" s="274" t="s">
        <v>737</v>
      </c>
      <c r="C87" s="275" t="s">
        <v>716</v>
      </c>
      <c r="D87" s="280" t="s">
        <v>738</v>
      </c>
      <c r="E87" s="276">
        <v>4</v>
      </c>
      <c r="F87" s="277" t="s">
        <v>739</v>
      </c>
      <c r="G87" s="259"/>
      <c r="H87" s="259"/>
      <c r="I87" s="259">
        <v>16330</v>
      </c>
      <c r="J87" s="259"/>
      <c r="K87" s="259"/>
      <c r="L87" s="259"/>
      <c r="M87" s="259"/>
      <c r="N87" s="259"/>
      <c r="O87" s="259"/>
      <c r="P87" s="259"/>
      <c r="Q87" s="259">
        <v>28670</v>
      </c>
      <c r="R87" s="259"/>
      <c r="S87" s="259"/>
      <c r="T87" s="263">
        <f t="shared" si="2"/>
        <v>45000</v>
      </c>
      <c r="U87" s="259"/>
      <c r="V87" s="259"/>
      <c r="W87" s="259"/>
      <c r="X87" s="259"/>
      <c r="Y87" s="259"/>
      <c r="Z87" s="259"/>
      <c r="AA87" s="259"/>
      <c r="AB87" s="259">
        <v>45000</v>
      </c>
      <c r="AC87" s="259"/>
      <c r="AD87" s="259"/>
      <c r="AE87" s="263">
        <f t="shared" si="3"/>
        <v>45000</v>
      </c>
      <c r="AF87" s="259"/>
      <c r="AG87" s="264">
        <f t="shared" si="0"/>
        <v>0</v>
      </c>
    </row>
    <row r="88" spans="1:33" s="265" customFormat="1" ht="12.75">
      <c r="A88" s="273"/>
      <c r="B88" s="294" t="s">
        <v>740</v>
      </c>
      <c r="C88" s="295" t="s">
        <v>734</v>
      </c>
      <c r="D88" s="296"/>
      <c r="E88" s="297">
        <v>2</v>
      </c>
      <c r="F88" s="298" t="s">
        <v>741</v>
      </c>
      <c r="G88" s="299"/>
      <c r="H88" s="299"/>
      <c r="I88" s="299">
        <v>-107900</v>
      </c>
      <c r="J88" s="299"/>
      <c r="K88" s="299"/>
      <c r="L88" s="299"/>
      <c r="M88" s="299"/>
      <c r="N88" s="299"/>
      <c r="O88" s="299"/>
      <c r="P88" s="299"/>
      <c r="Q88" s="299"/>
      <c r="R88" s="299"/>
      <c r="S88" s="299"/>
      <c r="T88" s="300">
        <f t="shared" si="2"/>
        <v>-107900</v>
      </c>
      <c r="U88" s="299"/>
      <c r="V88" s="299"/>
      <c r="W88" s="299"/>
      <c r="X88" s="299"/>
      <c r="Y88" s="299"/>
      <c r="Z88" s="299"/>
      <c r="AA88" s="299"/>
      <c r="AB88" s="299">
        <v>-107900</v>
      </c>
      <c r="AC88" s="299"/>
      <c r="AD88" s="299"/>
      <c r="AE88" s="300">
        <f t="shared" si="3"/>
        <v>-107900</v>
      </c>
      <c r="AF88" s="259"/>
      <c r="AG88" s="264">
        <f t="shared" si="0"/>
        <v>0</v>
      </c>
    </row>
    <row r="89" spans="1:33" s="270" customFormat="1" ht="13.5">
      <c r="A89" s="282"/>
      <c r="B89" s="420" t="s">
        <v>742</v>
      </c>
      <c r="C89" s="421"/>
      <c r="D89" s="421"/>
      <c r="E89" s="421"/>
      <c r="F89" s="422"/>
      <c r="G89" s="269">
        <f>SUM(G65:G88)-G88</f>
        <v>-66868</v>
      </c>
      <c r="H89" s="269">
        <f aca="true" t="shared" si="8" ref="H89:AD89">SUM(H65:H88)-H88</f>
        <v>-21682</v>
      </c>
      <c r="I89" s="269">
        <f t="shared" si="8"/>
        <v>787706</v>
      </c>
      <c r="J89" s="269">
        <f t="shared" si="8"/>
        <v>0</v>
      </c>
      <c r="K89" s="269">
        <f t="shared" si="8"/>
        <v>134937</v>
      </c>
      <c r="L89" s="269">
        <f t="shared" si="8"/>
        <v>5000</v>
      </c>
      <c r="M89" s="269">
        <f t="shared" si="8"/>
        <v>0</v>
      </c>
      <c r="N89" s="269">
        <f t="shared" si="8"/>
        <v>0</v>
      </c>
      <c r="O89" s="269">
        <f t="shared" si="8"/>
        <v>0</v>
      </c>
      <c r="P89" s="269">
        <f t="shared" si="8"/>
        <v>0</v>
      </c>
      <c r="Q89" s="269">
        <f t="shared" si="8"/>
        <v>51211</v>
      </c>
      <c r="R89" s="269">
        <f t="shared" si="8"/>
        <v>0</v>
      </c>
      <c r="S89" s="269">
        <f t="shared" si="8"/>
        <v>0</v>
      </c>
      <c r="T89" s="269">
        <f t="shared" si="8"/>
        <v>890304</v>
      </c>
      <c r="U89" s="269">
        <f t="shared" si="8"/>
        <v>0</v>
      </c>
      <c r="V89" s="269">
        <f t="shared" si="8"/>
        <v>22955</v>
      </c>
      <c r="W89" s="269">
        <f t="shared" si="8"/>
        <v>567612</v>
      </c>
      <c r="X89" s="269">
        <f t="shared" si="8"/>
        <v>10000</v>
      </c>
      <c r="Y89" s="269">
        <f t="shared" si="8"/>
        <v>0</v>
      </c>
      <c r="Z89" s="269">
        <f t="shared" si="8"/>
        <v>228698</v>
      </c>
      <c r="AA89" s="269">
        <f t="shared" si="8"/>
        <v>19541</v>
      </c>
      <c r="AB89" s="269">
        <f t="shared" si="8"/>
        <v>41498</v>
      </c>
      <c r="AC89" s="269">
        <f t="shared" si="8"/>
        <v>0</v>
      </c>
      <c r="AD89" s="269">
        <f t="shared" si="8"/>
        <v>0</v>
      </c>
      <c r="AE89" s="269">
        <f>SUM(AE65:AE88)-AE88</f>
        <v>890304</v>
      </c>
      <c r="AF89" s="268"/>
      <c r="AG89" s="264">
        <f t="shared" si="0"/>
        <v>0</v>
      </c>
    </row>
    <row r="90" spans="1:33" s="270" customFormat="1" ht="13.5">
      <c r="A90" s="282"/>
      <c r="B90" s="274" t="s">
        <v>743</v>
      </c>
      <c r="C90" s="275" t="s">
        <v>744</v>
      </c>
      <c r="D90" s="275" t="s">
        <v>635</v>
      </c>
      <c r="E90" s="275" t="s">
        <v>745</v>
      </c>
      <c r="F90" s="301" t="s">
        <v>746</v>
      </c>
      <c r="G90" s="259"/>
      <c r="H90" s="259"/>
      <c r="I90" s="259">
        <v>44954</v>
      </c>
      <c r="J90" s="259"/>
      <c r="K90" s="259"/>
      <c r="L90" s="259"/>
      <c r="M90" s="259"/>
      <c r="N90" s="259"/>
      <c r="O90" s="259"/>
      <c r="P90" s="259"/>
      <c r="Q90" s="259"/>
      <c r="R90" s="259"/>
      <c r="S90" s="259"/>
      <c r="T90" s="263">
        <f t="shared" si="2"/>
        <v>44954</v>
      </c>
      <c r="U90" s="259"/>
      <c r="V90" s="259"/>
      <c r="W90" s="259">
        <v>44954</v>
      </c>
      <c r="X90" s="259"/>
      <c r="Y90" s="259"/>
      <c r="Z90" s="259"/>
      <c r="AA90" s="259"/>
      <c r="AB90" s="259"/>
      <c r="AC90" s="259"/>
      <c r="AD90" s="259"/>
      <c r="AE90" s="263">
        <f t="shared" si="3"/>
        <v>44954</v>
      </c>
      <c r="AF90" s="268"/>
      <c r="AG90" s="264">
        <f t="shared" si="0"/>
        <v>0</v>
      </c>
    </row>
    <row r="91" spans="1:33" s="270" customFormat="1" ht="13.5">
      <c r="A91" s="282"/>
      <c r="B91" s="274"/>
      <c r="C91" s="275"/>
      <c r="D91" s="275" t="s">
        <v>637</v>
      </c>
      <c r="E91" s="275" t="s">
        <v>745</v>
      </c>
      <c r="F91" s="301" t="s">
        <v>747</v>
      </c>
      <c r="G91" s="259"/>
      <c r="H91" s="259"/>
      <c r="I91" s="259">
        <v>77216</v>
      </c>
      <c r="J91" s="259"/>
      <c r="K91" s="259"/>
      <c r="L91" s="259"/>
      <c r="M91" s="259"/>
      <c r="N91" s="259"/>
      <c r="O91" s="259"/>
      <c r="P91" s="259"/>
      <c r="Q91" s="259"/>
      <c r="R91" s="259"/>
      <c r="S91" s="259"/>
      <c r="T91" s="263">
        <f t="shared" si="2"/>
        <v>77216</v>
      </c>
      <c r="U91" s="259"/>
      <c r="V91" s="259"/>
      <c r="W91" s="259">
        <v>77216</v>
      </c>
      <c r="X91" s="259"/>
      <c r="Y91" s="259"/>
      <c r="Z91" s="259"/>
      <c r="AA91" s="259"/>
      <c r="AB91" s="259"/>
      <c r="AC91" s="259"/>
      <c r="AD91" s="259"/>
      <c r="AE91" s="263">
        <f t="shared" si="3"/>
        <v>77216</v>
      </c>
      <c r="AF91" s="268"/>
      <c r="AG91" s="264">
        <f t="shared" si="0"/>
        <v>0</v>
      </c>
    </row>
    <row r="92" spans="1:33" s="270" customFormat="1" ht="13.5">
      <c r="A92" s="282"/>
      <c r="B92" s="274"/>
      <c r="C92" s="275"/>
      <c r="D92" s="275" t="s">
        <v>674</v>
      </c>
      <c r="E92" s="275" t="s">
        <v>745</v>
      </c>
      <c r="F92" s="284" t="s">
        <v>748</v>
      </c>
      <c r="G92" s="259"/>
      <c r="H92" s="259"/>
      <c r="I92" s="259">
        <v>39000</v>
      </c>
      <c r="J92" s="259"/>
      <c r="K92" s="259"/>
      <c r="L92" s="259"/>
      <c r="M92" s="259"/>
      <c r="N92" s="259"/>
      <c r="O92" s="259"/>
      <c r="P92" s="259"/>
      <c r="Q92" s="259"/>
      <c r="R92" s="259"/>
      <c r="S92" s="259"/>
      <c r="T92" s="263">
        <f t="shared" si="2"/>
        <v>39000</v>
      </c>
      <c r="U92" s="259"/>
      <c r="V92" s="259"/>
      <c r="W92" s="259">
        <v>39000</v>
      </c>
      <c r="X92" s="259"/>
      <c r="Y92" s="259"/>
      <c r="Z92" s="259"/>
      <c r="AA92" s="259"/>
      <c r="AB92" s="259"/>
      <c r="AC92" s="259"/>
      <c r="AD92" s="259"/>
      <c r="AE92" s="263">
        <f t="shared" si="3"/>
        <v>39000</v>
      </c>
      <c r="AF92" s="268"/>
      <c r="AG92" s="264">
        <f t="shared" si="0"/>
        <v>0</v>
      </c>
    </row>
    <row r="93" spans="1:33" s="270" customFormat="1" ht="13.5">
      <c r="A93" s="282"/>
      <c r="B93" s="274"/>
      <c r="C93" s="275"/>
      <c r="D93" s="275" t="s">
        <v>735</v>
      </c>
      <c r="E93" s="275" t="s">
        <v>745</v>
      </c>
      <c r="F93" s="277" t="s">
        <v>749</v>
      </c>
      <c r="G93" s="259"/>
      <c r="H93" s="259"/>
      <c r="I93" s="259">
        <v>55570</v>
      </c>
      <c r="J93" s="259"/>
      <c r="K93" s="259"/>
      <c r="L93" s="259"/>
      <c r="M93" s="259"/>
      <c r="N93" s="259"/>
      <c r="O93" s="259"/>
      <c r="P93" s="259"/>
      <c r="Q93" s="259"/>
      <c r="R93" s="259"/>
      <c r="S93" s="259"/>
      <c r="T93" s="263">
        <f t="shared" si="2"/>
        <v>55570</v>
      </c>
      <c r="U93" s="259"/>
      <c r="V93" s="259"/>
      <c r="W93" s="259">
        <v>55570</v>
      </c>
      <c r="X93" s="259"/>
      <c r="Y93" s="259"/>
      <c r="Z93" s="259"/>
      <c r="AA93" s="259"/>
      <c r="AB93" s="259"/>
      <c r="AC93" s="259"/>
      <c r="AD93" s="259"/>
      <c r="AE93" s="263">
        <f t="shared" si="3"/>
        <v>55570</v>
      </c>
      <c r="AF93" s="268"/>
      <c r="AG93" s="264">
        <f t="shared" si="0"/>
        <v>0</v>
      </c>
    </row>
    <row r="94" spans="1:33" s="270" customFormat="1" ht="13.5">
      <c r="A94" s="282"/>
      <c r="B94" s="274"/>
      <c r="C94" s="275"/>
      <c r="D94" s="275" t="s">
        <v>750</v>
      </c>
      <c r="E94" s="275" t="s">
        <v>745</v>
      </c>
      <c r="F94" s="302" t="s">
        <v>751</v>
      </c>
      <c r="G94" s="259"/>
      <c r="H94" s="259"/>
      <c r="I94" s="259">
        <v>45442</v>
      </c>
      <c r="J94" s="259"/>
      <c r="K94" s="259"/>
      <c r="L94" s="259"/>
      <c r="M94" s="259"/>
      <c r="N94" s="259"/>
      <c r="O94" s="259"/>
      <c r="P94" s="259"/>
      <c r="Q94" s="259"/>
      <c r="R94" s="259"/>
      <c r="S94" s="259"/>
      <c r="T94" s="263">
        <f t="shared" si="2"/>
        <v>45442</v>
      </c>
      <c r="U94" s="259"/>
      <c r="V94" s="259">
        <v>45442</v>
      </c>
      <c r="W94" s="259"/>
      <c r="X94" s="259"/>
      <c r="Y94" s="259"/>
      <c r="Z94" s="259"/>
      <c r="AA94" s="259"/>
      <c r="AB94" s="259"/>
      <c r="AC94" s="259"/>
      <c r="AD94" s="259"/>
      <c r="AE94" s="263">
        <f t="shared" si="3"/>
        <v>45442</v>
      </c>
      <c r="AF94" s="268"/>
      <c r="AG94" s="264">
        <f t="shared" si="0"/>
        <v>0</v>
      </c>
    </row>
    <row r="95" spans="1:33" s="270" customFormat="1" ht="13.5">
      <c r="A95" s="282"/>
      <c r="B95" s="274"/>
      <c r="C95" s="275"/>
      <c r="D95" s="275" t="s">
        <v>750</v>
      </c>
      <c r="E95" s="275" t="s">
        <v>745</v>
      </c>
      <c r="F95" s="302" t="s">
        <v>752</v>
      </c>
      <c r="G95" s="259"/>
      <c r="H95" s="259"/>
      <c r="I95" s="259">
        <v>144362</v>
      </c>
      <c r="J95" s="259"/>
      <c r="K95" s="259"/>
      <c r="L95" s="259"/>
      <c r="M95" s="259"/>
      <c r="N95" s="259"/>
      <c r="O95" s="259"/>
      <c r="P95" s="259"/>
      <c r="Q95" s="259"/>
      <c r="R95" s="259"/>
      <c r="S95" s="259"/>
      <c r="T95" s="263">
        <f t="shared" si="2"/>
        <v>144362</v>
      </c>
      <c r="U95" s="259"/>
      <c r="V95" s="259">
        <v>72181</v>
      </c>
      <c r="W95" s="259">
        <v>72181</v>
      </c>
      <c r="X95" s="259"/>
      <c r="Y95" s="259"/>
      <c r="Z95" s="259"/>
      <c r="AA95" s="259"/>
      <c r="AB95" s="259"/>
      <c r="AC95" s="259"/>
      <c r="AD95" s="259"/>
      <c r="AE95" s="263">
        <f t="shared" si="3"/>
        <v>144362</v>
      </c>
      <c r="AF95" s="268"/>
      <c r="AG95" s="264">
        <f t="shared" si="0"/>
        <v>0</v>
      </c>
    </row>
    <row r="96" spans="1:33" s="270" customFormat="1" ht="13.5">
      <c r="A96" s="282"/>
      <c r="B96" s="274"/>
      <c r="C96" s="275"/>
      <c r="D96" s="275" t="s">
        <v>753</v>
      </c>
      <c r="E96" s="275" t="s">
        <v>745</v>
      </c>
      <c r="F96" s="301" t="s">
        <v>754</v>
      </c>
      <c r="G96" s="259"/>
      <c r="H96" s="259"/>
      <c r="I96" s="259">
        <v>10</v>
      </c>
      <c r="J96" s="259"/>
      <c r="K96" s="259"/>
      <c r="L96" s="259"/>
      <c r="M96" s="259"/>
      <c r="N96" s="259"/>
      <c r="O96" s="259"/>
      <c r="P96" s="259"/>
      <c r="Q96" s="259"/>
      <c r="R96" s="259"/>
      <c r="S96" s="259"/>
      <c r="T96" s="263">
        <f t="shared" si="2"/>
        <v>10</v>
      </c>
      <c r="U96" s="259"/>
      <c r="V96" s="259"/>
      <c r="W96" s="259">
        <v>10</v>
      </c>
      <c r="X96" s="259"/>
      <c r="Y96" s="259"/>
      <c r="Z96" s="259"/>
      <c r="AA96" s="259"/>
      <c r="AB96" s="259"/>
      <c r="AC96" s="259"/>
      <c r="AD96" s="259"/>
      <c r="AE96" s="263">
        <f t="shared" si="3"/>
        <v>10</v>
      </c>
      <c r="AF96" s="268"/>
      <c r="AG96" s="264">
        <f t="shared" si="0"/>
        <v>0</v>
      </c>
    </row>
    <row r="97" spans="1:33" s="270" customFormat="1" ht="13.5">
      <c r="A97" s="282"/>
      <c r="B97" s="274"/>
      <c r="C97" s="275"/>
      <c r="D97" s="275"/>
      <c r="E97" s="275" t="s">
        <v>745</v>
      </c>
      <c r="F97" s="301" t="s">
        <v>755</v>
      </c>
      <c r="G97" s="259"/>
      <c r="H97" s="259"/>
      <c r="I97" s="259">
        <v>-17000</v>
      </c>
      <c r="J97" s="259"/>
      <c r="K97" s="259"/>
      <c r="L97" s="259"/>
      <c r="M97" s="259">
        <v>17000</v>
      </c>
      <c r="N97" s="259"/>
      <c r="O97" s="259"/>
      <c r="P97" s="259"/>
      <c r="Q97" s="259"/>
      <c r="R97" s="259"/>
      <c r="S97" s="259"/>
      <c r="T97" s="263">
        <f t="shared" si="2"/>
        <v>0</v>
      </c>
      <c r="U97" s="259"/>
      <c r="V97" s="259"/>
      <c r="W97" s="259"/>
      <c r="X97" s="259"/>
      <c r="Y97" s="259"/>
      <c r="Z97" s="259"/>
      <c r="AA97" s="259"/>
      <c r="AB97" s="259"/>
      <c r="AC97" s="259"/>
      <c r="AD97" s="259"/>
      <c r="AE97" s="263">
        <f t="shared" si="3"/>
        <v>0</v>
      </c>
      <c r="AF97" s="268"/>
      <c r="AG97" s="264">
        <f t="shared" si="0"/>
        <v>0</v>
      </c>
    </row>
    <row r="98" spans="1:33" s="270" customFormat="1" ht="13.5">
      <c r="A98" s="282"/>
      <c r="B98" s="274"/>
      <c r="C98" s="275"/>
      <c r="D98" s="275"/>
      <c r="E98" s="275" t="s">
        <v>745</v>
      </c>
      <c r="F98" s="301" t="s">
        <v>756</v>
      </c>
      <c r="G98" s="259"/>
      <c r="H98" s="259"/>
      <c r="I98" s="259">
        <v>-6307</v>
      </c>
      <c r="J98" s="259"/>
      <c r="K98" s="259">
        <v>6307</v>
      </c>
      <c r="L98" s="259"/>
      <c r="M98" s="259"/>
      <c r="N98" s="259"/>
      <c r="O98" s="259"/>
      <c r="P98" s="259"/>
      <c r="Q98" s="259"/>
      <c r="R98" s="259"/>
      <c r="S98" s="259"/>
      <c r="T98" s="263">
        <f t="shared" si="2"/>
        <v>0</v>
      </c>
      <c r="U98" s="259"/>
      <c r="V98" s="259"/>
      <c r="W98" s="259"/>
      <c r="X98" s="259"/>
      <c r="Y98" s="259"/>
      <c r="Z98" s="259"/>
      <c r="AA98" s="259"/>
      <c r="AB98" s="259"/>
      <c r="AC98" s="259"/>
      <c r="AD98" s="259"/>
      <c r="AE98" s="263">
        <f t="shared" si="3"/>
        <v>0</v>
      </c>
      <c r="AF98" s="268"/>
      <c r="AG98" s="264">
        <f t="shared" si="0"/>
        <v>0</v>
      </c>
    </row>
    <row r="99" spans="1:34" s="270" customFormat="1" ht="13.5">
      <c r="A99" s="282"/>
      <c r="B99" s="274"/>
      <c r="C99" s="275"/>
      <c r="D99" s="275"/>
      <c r="E99" s="275" t="s">
        <v>745</v>
      </c>
      <c r="F99" s="301" t="s">
        <v>757</v>
      </c>
      <c r="G99" s="259"/>
      <c r="H99" s="259"/>
      <c r="I99" s="259">
        <v>-1560</v>
      </c>
      <c r="J99" s="259"/>
      <c r="K99" s="259">
        <v>1560</v>
      </c>
      <c r="L99" s="259"/>
      <c r="M99" s="259"/>
      <c r="N99" s="259"/>
      <c r="O99" s="259"/>
      <c r="P99" s="259"/>
      <c r="Q99" s="259"/>
      <c r="R99" s="259"/>
      <c r="S99" s="259"/>
      <c r="T99" s="263">
        <f t="shared" si="2"/>
        <v>0</v>
      </c>
      <c r="U99" s="259"/>
      <c r="V99" s="259"/>
      <c r="W99" s="259"/>
      <c r="X99" s="259"/>
      <c r="Y99" s="259"/>
      <c r="Z99" s="259"/>
      <c r="AA99" s="259"/>
      <c r="AB99" s="259"/>
      <c r="AC99" s="259"/>
      <c r="AD99" s="259"/>
      <c r="AE99" s="263">
        <f t="shared" si="3"/>
        <v>0</v>
      </c>
      <c r="AF99" s="268"/>
      <c r="AG99" s="264">
        <f t="shared" si="0"/>
        <v>0</v>
      </c>
      <c r="AH99" s="265">
        <f>SUM(AE90:AE99)</f>
        <v>406554</v>
      </c>
    </row>
    <row r="100" spans="1:33" s="270" customFormat="1" ht="13.5">
      <c r="A100" s="282"/>
      <c r="B100" s="274" t="s">
        <v>758</v>
      </c>
      <c r="C100" s="275" t="s">
        <v>759</v>
      </c>
      <c r="D100" s="275" t="s">
        <v>760</v>
      </c>
      <c r="E100" s="275" t="s">
        <v>745</v>
      </c>
      <c r="F100" s="301" t="s">
        <v>761</v>
      </c>
      <c r="G100" s="259"/>
      <c r="H100" s="259"/>
      <c r="I100" s="259">
        <v>294502</v>
      </c>
      <c r="J100" s="259"/>
      <c r="K100" s="259"/>
      <c r="L100" s="259"/>
      <c r="M100" s="259"/>
      <c r="N100" s="259"/>
      <c r="O100" s="259"/>
      <c r="P100" s="259"/>
      <c r="Q100" s="259"/>
      <c r="R100" s="259"/>
      <c r="S100" s="259"/>
      <c r="T100" s="263">
        <f t="shared" si="2"/>
        <v>294502</v>
      </c>
      <c r="U100" s="259"/>
      <c r="V100" s="259">
        <v>294502</v>
      </c>
      <c r="W100" s="259"/>
      <c r="X100" s="259"/>
      <c r="Y100" s="259"/>
      <c r="Z100" s="259"/>
      <c r="AA100" s="259"/>
      <c r="AB100" s="259"/>
      <c r="AC100" s="259"/>
      <c r="AD100" s="259"/>
      <c r="AE100" s="263">
        <f t="shared" si="3"/>
        <v>294502</v>
      </c>
      <c r="AF100" s="268"/>
      <c r="AG100" s="264">
        <f t="shared" si="0"/>
        <v>0</v>
      </c>
    </row>
    <row r="101" spans="1:33" s="270" customFormat="1" ht="13.5">
      <c r="A101" s="282"/>
      <c r="B101" s="274"/>
      <c r="C101" s="275"/>
      <c r="D101" s="275" t="s">
        <v>618</v>
      </c>
      <c r="E101" s="275" t="s">
        <v>745</v>
      </c>
      <c r="F101" s="284" t="s">
        <v>762</v>
      </c>
      <c r="G101" s="259"/>
      <c r="H101" s="259"/>
      <c r="I101" s="259">
        <v>13372</v>
      </c>
      <c r="J101" s="259"/>
      <c r="K101" s="259"/>
      <c r="L101" s="259"/>
      <c r="M101" s="259"/>
      <c r="N101" s="259"/>
      <c r="O101" s="259"/>
      <c r="P101" s="259"/>
      <c r="Q101" s="259"/>
      <c r="R101" s="259"/>
      <c r="S101" s="259"/>
      <c r="T101" s="263">
        <f t="shared" si="2"/>
        <v>13372</v>
      </c>
      <c r="U101" s="259"/>
      <c r="V101" s="259"/>
      <c r="W101" s="259">
        <v>13372</v>
      </c>
      <c r="X101" s="259"/>
      <c r="Y101" s="259"/>
      <c r="Z101" s="259"/>
      <c r="AA101" s="259"/>
      <c r="AB101" s="259"/>
      <c r="AC101" s="259"/>
      <c r="AD101" s="259"/>
      <c r="AE101" s="263">
        <f t="shared" si="3"/>
        <v>13372</v>
      </c>
      <c r="AF101" s="268"/>
      <c r="AG101" s="264">
        <f t="shared" si="0"/>
        <v>0</v>
      </c>
    </row>
    <row r="102" spans="1:34" s="270" customFormat="1" ht="13.5">
      <c r="A102" s="282"/>
      <c r="B102" s="274"/>
      <c r="C102" s="275"/>
      <c r="D102" s="275" t="s">
        <v>618</v>
      </c>
      <c r="E102" s="275" t="s">
        <v>745</v>
      </c>
      <c r="F102" s="284" t="s">
        <v>763</v>
      </c>
      <c r="G102" s="259"/>
      <c r="H102" s="259"/>
      <c r="I102" s="259">
        <v>42292</v>
      </c>
      <c r="J102" s="259"/>
      <c r="K102" s="259"/>
      <c r="L102" s="259"/>
      <c r="M102" s="259"/>
      <c r="N102" s="259"/>
      <c r="O102" s="259"/>
      <c r="P102" s="259"/>
      <c r="Q102" s="259"/>
      <c r="R102" s="259"/>
      <c r="S102" s="259"/>
      <c r="T102" s="263">
        <f t="shared" si="2"/>
        <v>42292</v>
      </c>
      <c r="U102" s="259"/>
      <c r="V102" s="259"/>
      <c r="W102" s="259">
        <v>42292</v>
      </c>
      <c r="X102" s="259"/>
      <c r="Y102" s="259"/>
      <c r="Z102" s="259"/>
      <c r="AA102" s="259"/>
      <c r="AB102" s="259"/>
      <c r="AC102" s="259"/>
      <c r="AD102" s="259"/>
      <c r="AE102" s="263">
        <f t="shared" si="3"/>
        <v>42292</v>
      </c>
      <c r="AF102" s="268"/>
      <c r="AG102" s="264">
        <f t="shared" si="0"/>
        <v>0</v>
      </c>
      <c r="AH102" s="265">
        <f>SUM(AE100:AE102)</f>
        <v>350166</v>
      </c>
    </row>
    <row r="103" spans="1:33" s="270" customFormat="1" ht="13.5">
      <c r="A103" s="282"/>
      <c r="B103" s="274" t="s">
        <v>764</v>
      </c>
      <c r="C103" s="275"/>
      <c r="D103" s="275" t="s">
        <v>765</v>
      </c>
      <c r="E103" s="275" t="s">
        <v>590</v>
      </c>
      <c r="F103" s="303" t="s">
        <v>766</v>
      </c>
      <c r="G103" s="259">
        <v>12264</v>
      </c>
      <c r="H103" s="259">
        <v>2937</v>
      </c>
      <c r="I103" s="259">
        <v>2319</v>
      </c>
      <c r="J103" s="259"/>
      <c r="K103" s="259"/>
      <c r="L103" s="259"/>
      <c r="M103" s="259"/>
      <c r="N103" s="259"/>
      <c r="O103" s="259"/>
      <c r="P103" s="259"/>
      <c r="Q103" s="259"/>
      <c r="R103" s="259"/>
      <c r="S103" s="259"/>
      <c r="T103" s="263">
        <f t="shared" si="2"/>
        <v>17520</v>
      </c>
      <c r="U103" s="259"/>
      <c r="V103" s="259"/>
      <c r="W103" s="259"/>
      <c r="X103" s="259"/>
      <c r="Y103" s="259"/>
      <c r="Z103" s="259"/>
      <c r="AA103" s="259"/>
      <c r="AB103" s="259">
        <v>17520</v>
      </c>
      <c r="AC103" s="259"/>
      <c r="AD103" s="259"/>
      <c r="AE103" s="263">
        <f t="shared" si="3"/>
        <v>17520</v>
      </c>
      <c r="AF103" s="268"/>
      <c r="AG103" s="264">
        <f t="shared" si="0"/>
        <v>0</v>
      </c>
    </row>
    <row r="104" spans="1:33" s="270" customFormat="1" ht="13.5">
      <c r="A104" s="282"/>
      <c r="B104" s="420" t="s">
        <v>767</v>
      </c>
      <c r="C104" s="421"/>
      <c r="D104" s="421"/>
      <c r="E104" s="421"/>
      <c r="F104" s="422"/>
      <c r="G104" s="304">
        <f aca="true" t="shared" si="9" ref="G104:AF104">SUM(G90:G103)</f>
        <v>12264</v>
      </c>
      <c r="H104" s="304">
        <f t="shared" si="9"/>
        <v>2937</v>
      </c>
      <c r="I104" s="304">
        <f t="shared" si="9"/>
        <v>734172</v>
      </c>
      <c r="J104" s="304">
        <f t="shared" si="9"/>
        <v>0</v>
      </c>
      <c r="K104" s="304">
        <f t="shared" si="9"/>
        <v>7867</v>
      </c>
      <c r="L104" s="304">
        <f t="shared" si="9"/>
        <v>0</v>
      </c>
      <c r="M104" s="304">
        <f t="shared" si="9"/>
        <v>17000</v>
      </c>
      <c r="N104" s="304">
        <f t="shared" si="9"/>
        <v>0</v>
      </c>
      <c r="O104" s="304">
        <f t="shared" si="9"/>
        <v>0</v>
      </c>
      <c r="P104" s="304">
        <f t="shared" si="9"/>
        <v>0</v>
      </c>
      <c r="Q104" s="304">
        <f t="shared" si="9"/>
        <v>0</v>
      </c>
      <c r="R104" s="304">
        <f t="shared" si="9"/>
        <v>0</v>
      </c>
      <c r="S104" s="304">
        <f t="shared" si="9"/>
        <v>0</v>
      </c>
      <c r="T104" s="269">
        <f t="shared" si="9"/>
        <v>774240</v>
      </c>
      <c r="U104" s="304">
        <f t="shared" si="9"/>
        <v>0</v>
      </c>
      <c r="V104" s="304">
        <f t="shared" si="9"/>
        <v>412125</v>
      </c>
      <c r="W104" s="304">
        <f t="shared" si="9"/>
        <v>344595</v>
      </c>
      <c r="X104" s="304">
        <f t="shared" si="9"/>
        <v>0</v>
      </c>
      <c r="Y104" s="304">
        <f t="shared" si="9"/>
        <v>0</v>
      </c>
      <c r="Z104" s="304">
        <f t="shared" si="9"/>
        <v>0</v>
      </c>
      <c r="AA104" s="304">
        <f t="shared" si="9"/>
        <v>0</v>
      </c>
      <c r="AB104" s="304">
        <f t="shared" si="9"/>
        <v>17520</v>
      </c>
      <c r="AC104" s="304">
        <f t="shared" si="9"/>
        <v>0</v>
      </c>
      <c r="AD104" s="304">
        <f t="shared" si="9"/>
        <v>0</v>
      </c>
      <c r="AE104" s="269">
        <f t="shared" si="9"/>
        <v>774240</v>
      </c>
      <c r="AF104" s="305">
        <f t="shared" si="9"/>
        <v>0</v>
      </c>
      <c r="AG104" s="306">
        <f t="shared" si="0"/>
        <v>0</v>
      </c>
    </row>
    <row r="105" spans="2:33" s="307" customFormat="1" ht="12.75">
      <c r="B105" s="274" t="s">
        <v>768</v>
      </c>
      <c r="C105" s="275"/>
      <c r="D105" s="275" t="s">
        <v>629</v>
      </c>
      <c r="E105" s="275" t="s">
        <v>745</v>
      </c>
      <c r="F105" s="274" t="s">
        <v>769</v>
      </c>
      <c r="G105" s="259">
        <v>11611</v>
      </c>
      <c r="H105" s="259">
        <v>3466</v>
      </c>
      <c r="I105" s="259"/>
      <c r="J105" s="259"/>
      <c r="K105" s="259"/>
      <c r="L105" s="259"/>
      <c r="M105" s="259"/>
      <c r="N105" s="259"/>
      <c r="O105" s="259"/>
      <c r="P105" s="259"/>
      <c r="Q105" s="259"/>
      <c r="R105" s="259"/>
      <c r="S105" s="259"/>
      <c r="T105" s="263">
        <f t="shared" si="2"/>
        <v>15077</v>
      </c>
      <c r="U105" s="259"/>
      <c r="V105" s="259"/>
      <c r="W105" s="259">
        <v>15077</v>
      </c>
      <c r="X105" s="259"/>
      <c r="Y105" s="259"/>
      <c r="Z105" s="259"/>
      <c r="AA105" s="259"/>
      <c r="AB105" s="259"/>
      <c r="AC105" s="259"/>
      <c r="AD105" s="259"/>
      <c r="AE105" s="263">
        <f t="shared" si="3"/>
        <v>15077</v>
      </c>
      <c r="AG105" s="307">
        <f t="shared" si="0"/>
        <v>0</v>
      </c>
    </row>
    <row r="106" spans="2:33" s="307" customFormat="1" ht="12.75">
      <c r="B106" s="274"/>
      <c r="C106" s="275"/>
      <c r="D106" s="275" t="s">
        <v>637</v>
      </c>
      <c r="E106" s="275" t="s">
        <v>745</v>
      </c>
      <c r="F106" s="301" t="s">
        <v>770</v>
      </c>
      <c r="G106" s="274"/>
      <c r="H106" s="259"/>
      <c r="I106" s="259">
        <v>63</v>
      </c>
      <c r="J106" s="259"/>
      <c r="K106" s="259"/>
      <c r="L106" s="259"/>
      <c r="M106" s="259"/>
      <c r="N106" s="259"/>
      <c r="O106" s="259"/>
      <c r="P106" s="259"/>
      <c r="Q106" s="259"/>
      <c r="R106" s="259"/>
      <c r="S106" s="259"/>
      <c r="T106" s="263">
        <f t="shared" si="2"/>
        <v>63</v>
      </c>
      <c r="U106" s="259"/>
      <c r="V106" s="259"/>
      <c r="W106" s="259">
        <v>63</v>
      </c>
      <c r="X106" s="259"/>
      <c r="Y106" s="259"/>
      <c r="Z106" s="259"/>
      <c r="AA106" s="259"/>
      <c r="AB106" s="259"/>
      <c r="AC106" s="259"/>
      <c r="AD106" s="259"/>
      <c r="AE106" s="263">
        <f t="shared" si="3"/>
        <v>63</v>
      </c>
      <c r="AG106" s="307">
        <f t="shared" si="0"/>
        <v>0</v>
      </c>
    </row>
    <row r="107" spans="2:33" s="307" customFormat="1" ht="12.75">
      <c r="B107" s="274"/>
      <c r="C107" s="275"/>
      <c r="D107" s="275" t="s">
        <v>599</v>
      </c>
      <c r="E107" s="275" t="s">
        <v>745</v>
      </c>
      <c r="F107" s="274" t="s">
        <v>771</v>
      </c>
      <c r="G107" s="274"/>
      <c r="H107" s="259"/>
      <c r="I107" s="259"/>
      <c r="J107" s="259"/>
      <c r="K107" s="259">
        <v>53</v>
      </c>
      <c r="L107" s="259"/>
      <c r="M107" s="259"/>
      <c r="N107" s="259"/>
      <c r="O107" s="259"/>
      <c r="P107" s="259"/>
      <c r="Q107" s="259"/>
      <c r="R107" s="259"/>
      <c r="S107" s="259"/>
      <c r="T107" s="263">
        <f t="shared" si="2"/>
        <v>53</v>
      </c>
      <c r="U107" s="259"/>
      <c r="V107" s="259"/>
      <c r="W107" s="259">
        <v>53</v>
      </c>
      <c r="X107" s="259"/>
      <c r="Y107" s="259"/>
      <c r="Z107" s="259"/>
      <c r="AA107" s="259"/>
      <c r="AB107" s="259"/>
      <c r="AC107" s="259"/>
      <c r="AD107" s="259"/>
      <c r="AE107" s="263">
        <f t="shared" si="3"/>
        <v>53</v>
      </c>
      <c r="AG107" s="307">
        <f t="shared" si="0"/>
        <v>0</v>
      </c>
    </row>
    <row r="108" spans="2:33" s="307" customFormat="1" ht="12.75">
      <c r="B108" s="274"/>
      <c r="C108" s="275"/>
      <c r="D108" s="285">
        <v>4007</v>
      </c>
      <c r="E108" s="276">
        <v>5</v>
      </c>
      <c r="F108" s="287" t="s">
        <v>772</v>
      </c>
      <c r="G108" s="274"/>
      <c r="H108" s="259"/>
      <c r="I108" s="259">
        <v>194</v>
      </c>
      <c r="J108" s="259"/>
      <c r="K108" s="259"/>
      <c r="L108" s="259"/>
      <c r="M108" s="259"/>
      <c r="N108" s="259"/>
      <c r="O108" s="259"/>
      <c r="P108" s="259"/>
      <c r="Q108" s="259"/>
      <c r="R108" s="259"/>
      <c r="S108" s="259"/>
      <c r="T108" s="263">
        <f t="shared" si="2"/>
        <v>194</v>
      </c>
      <c r="U108" s="259"/>
      <c r="V108" s="259"/>
      <c r="W108" s="259">
        <v>194</v>
      </c>
      <c r="X108" s="259"/>
      <c r="Y108" s="259"/>
      <c r="Z108" s="259"/>
      <c r="AA108" s="259"/>
      <c r="AB108" s="259"/>
      <c r="AC108" s="259"/>
      <c r="AD108" s="259"/>
      <c r="AE108" s="263">
        <f t="shared" si="3"/>
        <v>194</v>
      </c>
      <c r="AG108" s="307">
        <f t="shared" si="0"/>
        <v>0</v>
      </c>
    </row>
    <row r="109" spans="2:33" s="307" customFormat="1" ht="12.75">
      <c r="B109" s="274"/>
      <c r="C109" s="275"/>
      <c r="D109" s="275" t="s">
        <v>735</v>
      </c>
      <c r="E109" s="275" t="s">
        <v>745</v>
      </c>
      <c r="F109" s="274" t="s">
        <v>773</v>
      </c>
      <c r="G109" s="274"/>
      <c r="H109" s="259"/>
      <c r="I109" s="259">
        <v>55514</v>
      </c>
      <c r="J109" s="259"/>
      <c r="K109" s="259"/>
      <c r="L109" s="259"/>
      <c r="M109" s="259"/>
      <c r="N109" s="259"/>
      <c r="O109" s="259"/>
      <c r="P109" s="259"/>
      <c r="Q109" s="259"/>
      <c r="R109" s="259"/>
      <c r="S109" s="259"/>
      <c r="T109" s="263">
        <f t="shared" si="2"/>
        <v>55514</v>
      </c>
      <c r="U109" s="259"/>
      <c r="V109" s="259"/>
      <c r="W109" s="259">
        <v>55514</v>
      </c>
      <c r="X109" s="259"/>
      <c r="Y109" s="259"/>
      <c r="Z109" s="259"/>
      <c r="AA109" s="259"/>
      <c r="AB109" s="259"/>
      <c r="AC109" s="259"/>
      <c r="AD109" s="259"/>
      <c r="AE109" s="263">
        <f t="shared" si="3"/>
        <v>55514</v>
      </c>
      <c r="AG109" s="307">
        <f t="shared" si="0"/>
        <v>0</v>
      </c>
    </row>
    <row r="110" spans="2:33" s="307" customFormat="1" ht="12.75">
      <c r="B110" s="274"/>
      <c r="C110" s="275"/>
      <c r="D110" s="275" t="s">
        <v>674</v>
      </c>
      <c r="E110" s="275" t="s">
        <v>745</v>
      </c>
      <c r="F110" s="284" t="s">
        <v>748</v>
      </c>
      <c r="G110" s="259"/>
      <c r="H110" s="259"/>
      <c r="I110" s="259">
        <v>33139</v>
      </c>
      <c r="J110" s="259"/>
      <c r="K110" s="259"/>
      <c r="L110" s="259"/>
      <c r="M110" s="259"/>
      <c r="N110" s="259"/>
      <c r="O110" s="259"/>
      <c r="P110" s="259"/>
      <c r="Q110" s="259"/>
      <c r="R110" s="259"/>
      <c r="S110" s="259"/>
      <c r="T110" s="263">
        <f t="shared" si="2"/>
        <v>33139</v>
      </c>
      <c r="U110" s="274"/>
      <c r="V110" s="274"/>
      <c r="W110" s="259">
        <v>33139</v>
      </c>
      <c r="X110" s="274"/>
      <c r="Y110" s="274"/>
      <c r="Z110" s="274"/>
      <c r="AA110" s="274"/>
      <c r="AB110" s="259"/>
      <c r="AC110" s="274"/>
      <c r="AD110" s="274"/>
      <c r="AE110" s="263">
        <f t="shared" si="3"/>
        <v>33139</v>
      </c>
      <c r="AG110" s="307">
        <f t="shared" si="0"/>
        <v>0</v>
      </c>
    </row>
    <row r="111" spans="2:33" s="307" customFormat="1" ht="12.75">
      <c r="B111" s="274"/>
      <c r="C111" s="275"/>
      <c r="D111" s="275" t="s">
        <v>637</v>
      </c>
      <c r="E111" s="275" t="s">
        <v>745</v>
      </c>
      <c r="F111" s="301" t="s">
        <v>774</v>
      </c>
      <c r="G111" s="259"/>
      <c r="H111" s="259"/>
      <c r="I111" s="259">
        <v>317</v>
      </c>
      <c r="J111" s="259"/>
      <c r="K111" s="259"/>
      <c r="L111" s="259"/>
      <c r="M111" s="259"/>
      <c r="N111" s="259"/>
      <c r="O111" s="259"/>
      <c r="P111" s="259"/>
      <c r="Q111" s="259"/>
      <c r="R111" s="259"/>
      <c r="S111" s="259"/>
      <c r="T111" s="263">
        <f t="shared" si="2"/>
        <v>317</v>
      </c>
      <c r="U111" s="274"/>
      <c r="V111" s="259"/>
      <c r="W111" s="259">
        <v>317</v>
      </c>
      <c r="X111" s="259"/>
      <c r="Y111" s="259"/>
      <c r="Z111" s="259"/>
      <c r="AA111" s="259"/>
      <c r="AB111" s="259"/>
      <c r="AC111" s="259"/>
      <c r="AD111" s="259"/>
      <c r="AE111" s="263">
        <f t="shared" si="3"/>
        <v>317</v>
      </c>
      <c r="AG111" s="307">
        <f t="shared" si="0"/>
        <v>0</v>
      </c>
    </row>
    <row r="112" spans="2:33" s="307" customFormat="1" ht="12.75">
      <c r="B112" s="274"/>
      <c r="C112" s="275"/>
      <c r="D112" s="275" t="s">
        <v>635</v>
      </c>
      <c r="E112" s="275" t="s">
        <v>745</v>
      </c>
      <c r="F112" s="301" t="s">
        <v>775</v>
      </c>
      <c r="G112" s="259"/>
      <c r="H112" s="259"/>
      <c r="I112" s="259">
        <v>34212</v>
      </c>
      <c r="J112" s="259"/>
      <c r="K112" s="259"/>
      <c r="L112" s="259"/>
      <c r="M112" s="259"/>
      <c r="N112" s="259"/>
      <c r="O112" s="259"/>
      <c r="P112" s="259"/>
      <c r="Q112" s="259"/>
      <c r="R112" s="259"/>
      <c r="S112" s="259"/>
      <c r="T112" s="263">
        <f t="shared" si="2"/>
        <v>34212</v>
      </c>
      <c r="U112" s="274"/>
      <c r="V112" s="259"/>
      <c r="W112" s="259">
        <v>34212</v>
      </c>
      <c r="X112" s="259"/>
      <c r="Y112" s="259"/>
      <c r="Z112" s="259"/>
      <c r="AA112" s="259"/>
      <c r="AB112" s="259"/>
      <c r="AC112" s="259"/>
      <c r="AD112" s="259"/>
      <c r="AE112" s="263">
        <f t="shared" si="3"/>
        <v>34212</v>
      </c>
      <c r="AG112" s="307">
        <f t="shared" si="0"/>
        <v>0</v>
      </c>
    </row>
    <row r="113" spans="2:34" s="307" customFormat="1" ht="12.75">
      <c r="B113" s="274"/>
      <c r="C113" s="275"/>
      <c r="D113" s="275" t="s">
        <v>674</v>
      </c>
      <c r="E113" s="275" t="s">
        <v>745</v>
      </c>
      <c r="F113" s="284" t="s">
        <v>748</v>
      </c>
      <c r="G113" s="259"/>
      <c r="H113" s="259"/>
      <c r="I113" s="259">
        <v>39000</v>
      </c>
      <c r="J113" s="259"/>
      <c r="K113" s="259"/>
      <c r="L113" s="259"/>
      <c r="M113" s="259"/>
      <c r="N113" s="259"/>
      <c r="O113" s="259"/>
      <c r="P113" s="259"/>
      <c r="Q113" s="259"/>
      <c r="R113" s="259"/>
      <c r="S113" s="259"/>
      <c r="T113" s="263">
        <f t="shared" si="2"/>
        <v>39000</v>
      </c>
      <c r="U113" s="274"/>
      <c r="V113" s="259"/>
      <c r="W113" s="259">
        <v>39000</v>
      </c>
      <c r="X113" s="259"/>
      <c r="Y113" s="259"/>
      <c r="Z113" s="259"/>
      <c r="AA113" s="259"/>
      <c r="AB113" s="259"/>
      <c r="AC113" s="259"/>
      <c r="AD113" s="259"/>
      <c r="AE113" s="263">
        <f t="shared" si="3"/>
        <v>39000</v>
      </c>
      <c r="AG113" s="307">
        <f t="shared" si="0"/>
        <v>0</v>
      </c>
      <c r="AH113" s="308">
        <f>SUM(AE105:AE113)</f>
        <v>177569</v>
      </c>
    </row>
    <row r="114" spans="2:34" s="307" customFormat="1" ht="12.75">
      <c r="B114" s="274" t="s">
        <v>776</v>
      </c>
      <c r="C114" s="275"/>
      <c r="D114" s="275" t="s">
        <v>777</v>
      </c>
      <c r="E114" s="275" t="s">
        <v>745</v>
      </c>
      <c r="F114" s="284" t="s">
        <v>778</v>
      </c>
      <c r="G114" s="259"/>
      <c r="H114" s="259"/>
      <c r="I114" s="259">
        <v>41750</v>
      </c>
      <c r="J114" s="259"/>
      <c r="K114" s="259"/>
      <c r="L114" s="259"/>
      <c r="M114" s="259"/>
      <c r="N114" s="259"/>
      <c r="O114" s="259"/>
      <c r="P114" s="259"/>
      <c r="Q114" s="259"/>
      <c r="R114" s="259"/>
      <c r="S114" s="259"/>
      <c r="T114" s="263">
        <f t="shared" si="2"/>
        <v>41750</v>
      </c>
      <c r="U114" s="274"/>
      <c r="V114" s="259"/>
      <c r="W114" s="259"/>
      <c r="X114" s="278">
        <v>41750</v>
      </c>
      <c r="Y114" s="259"/>
      <c r="Z114" s="259"/>
      <c r="AA114" s="259"/>
      <c r="AB114" s="259"/>
      <c r="AC114" s="259"/>
      <c r="AD114" s="259"/>
      <c r="AE114" s="263">
        <f t="shared" si="3"/>
        <v>41750</v>
      </c>
      <c r="AG114" s="307">
        <f t="shared" si="0"/>
        <v>0</v>
      </c>
      <c r="AH114" s="308"/>
    </row>
    <row r="115" spans="2:33" s="307" customFormat="1" ht="12.75">
      <c r="B115" s="274" t="s">
        <v>779</v>
      </c>
      <c r="C115" s="275"/>
      <c r="D115" s="275"/>
      <c r="E115" s="275" t="s">
        <v>585</v>
      </c>
      <c r="F115" s="301" t="s">
        <v>780</v>
      </c>
      <c r="G115" s="259">
        <v>4000</v>
      </c>
      <c r="H115" s="259">
        <v>1280</v>
      </c>
      <c r="I115" s="259">
        <v>15593</v>
      </c>
      <c r="J115" s="259"/>
      <c r="K115" s="259"/>
      <c r="L115" s="259"/>
      <c r="M115" s="259"/>
      <c r="N115" s="259"/>
      <c r="O115" s="259"/>
      <c r="P115" s="259"/>
      <c r="Q115" s="259"/>
      <c r="R115" s="259"/>
      <c r="S115" s="259"/>
      <c r="T115" s="263">
        <f t="shared" si="2"/>
        <v>20873</v>
      </c>
      <c r="U115" s="274"/>
      <c r="V115" s="259"/>
      <c r="W115" s="259"/>
      <c r="X115" s="259"/>
      <c r="Y115" s="259"/>
      <c r="Z115" s="259"/>
      <c r="AA115" s="259"/>
      <c r="AB115" s="259">
        <v>20873</v>
      </c>
      <c r="AC115" s="259"/>
      <c r="AD115" s="259"/>
      <c r="AE115" s="263">
        <f t="shared" si="3"/>
        <v>20873</v>
      </c>
      <c r="AG115" s="307">
        <f t="shared" si="0"/>
        <v>0</v>
      </c>
    </row>
    <row r="116" spans="2:33" s="307" customFormat="1" ht="12.75">
      <c r="B116" s="274" t="s">
        <v>781</v>
      </c>
      <c r="C116" s="275" t="s">
        <v>782</v>
      </c>
      <c r="D116" s="275" t="s">
        <v>659</v>
      </c>
      <c r="E116" s="275" t="s">
        <v>590</v>
      </c>
      <c r="F116" s="274" t="s">
        <v>783</v>
      </c>
      <c r="G116" s="259">
        <v>29574</v>
      </c>
      <c r="H116" s="259">
        <v>7713</v>
      </c>
      <c r="I116" s="259">
        <v>210</v>
      </c>
      <c r="J116" s="259"/>
      <c r="K116" s="259"/>
      <c r="L116" s="259"/>
      <c r="M116" s="259"/>
      <c r="N116" s="259"/>
      <c r="O116" s="259"/>
      <c r="P116" s="259"/>
      <c r="Q116" s="259"/>
      <c r="R116" s="259"/>
      <c r="S116" s="259"/>
      <c r="T116" s="263">
        <f t="shared" si="2"/>
        <v>37497</v>
      </c>
      <c r="U116" s="274"/>
      <c r="V116" s="259"/>
      <c r="W116" s="259"/>
      <c r="X116" s="259"/>
      <c r="Y116" s="259"/>
      <c r="Z116" s="259"/>
      <c r="AA116" s="259"/>
      <c r="AB116" s="259">
        <v>37497</v>
      </c>
      <c r="AC116" s="259"/>
      <c r="AD116" s="259"/>
      <c r="AE116" s="263">
        <f t="shared" si="3"/>
        <v>37497</v>
      </c>
      <c r="AG116" s="307">
        <f t="shared" si="0"/>
        <v>0</v>
      </c>
    </row>
    <row r="117" spans="1:33" s="270" customFormat="1" ht="13.5">
      <c r="A117" s="282"/>
      <c r="B117" s="420" t="s">
        <v>784</v>
      </c>
      <c r="C117" s="421"/>
      <c r="D117" s="421"/>
      <c r="E117" s="421"/>
      <c r="F117" s="422"/>
      <c r="G117" s="304">
        <f aca="true" t="shared" si="10" ref="G117:AE117">SUM(G105:G116)</f>
        <v>45185</v>
      </c>
      <c r="H117" s="304">
        <f t="shared" si="10"/>
        <v>12459</v>
      </c>
      <c r="I117" s="304">
        <f t="shared" si="10"/>
        <v>219992</v>
      </c>
      <c r="J117" s="304">
        <f t="shared" si="10"/>
        <v>0</v>
      </c>
      <c r="K117" s="304">
        <f t="shared" si="10"/>
        <v>53</v>
      </c>
      <c r="L117" s="304">
        <f t="shared" si="10"/>
        <v>0</v>
      </c>
      <c r="M117" s="304">
        <f t="shared" si="10"/>
        <v>0</v>
      </c>
      <c r="N117" s="304">
        <f t="shared" si="10"/>
        <v>0</v>
      </c>
      <c r="O117" s="304">
        <f t="shared" si="10"/>
        <v>0</v>
      </c>
      <c r="P117" s="304">
        <f t="shared" si="10"/>
        <v>0</v>
      </c>
      <c r="Q117" s="304">
        <f t="shared" si="10"/>
        <v>0</v>
      </c>
      <c r="R117" s="304">
        <f t="shared" si="10"/>
        <v>0</v>
      </c>
      <c r="S117" s="304">
        <f t="shared" si="10"/>
        <v>0</v>
      </c>
      <c r="T117" s="304">
        <f t="shared" si="10"/>
        <v>277689</v>
      </c>
      <c r="U117" s="304">
        <f t="shared" si="10"/>
        <v>0</v>
      </c>
      <c r="V117" s="304">
        <f t="shared" si="10"/>
        <v>0</v>
      </c>
      <c r="W117" s="304">
        <f t="shared" si="10"/>
        <v>177569</v>
      </c>
      <c r="X117" s="304">
        <f t="shared" si="10"/>
        <v>41750</v>
      </c>
      <c r="Y117" s="304">
        <f t="shared" si="10"/>
        <v>0</v>
      </c>
      <c r="Z117" s="304">
        <f t="shared" si="10"/>
        <v>0</v>
      </c>
      <c r="AA117" s="304">
        <f t="shared" si="10"/>
        <v>0</v>
      </c>
      <c r="AB117" s="304">
        <f t="shared" si="10"/>
        <v>58370</v>
      </c>
      <c r="AC117" s="304">
        <f t="shared" si="10"/>
        <v>0</v>
      </c>
      <c r="AD117" s="304">
        <f t="shared" si="10"/>
        <v>0</v>
      </c>
      <c r="AE117" s="304">
        <f t="shared" si="10"/>
        <v>277689</v>
      </c>
      <c r="AF117" s="305">
        <f>SUM(AF106:AF116)</f>
        <v>0</v>
      </c>
      <c r="AG117" s="306">
        <f>AE117-T117</f>
        <v>0</v>
      </c>
    </row>
    <row r="118" spans="1:33" s="312" customFormat="1" ht="12.75">
      <c r="A118" s="309"/>
      <c r="B118" s="274" t="s">
        <v>785</v>
      </c>
      <c r="C118" s="275" t="s">
        <v>786</v>
      </c>
      <c r="D118" s="275" t="s">
        <v>656</v>
      </c>
      <c r="E118" s="276">
        <v>2</v>
      </c>
      <c r="F118" s="277" t="s">
        <v>787</v>
      </c>
      <c r="G118" s="310">
        <v>12473</v>
      </c>
      <c r="H118" s="310"/>
      <c r="I118" s="310"/>
      <c r="J118" s="310"/>
      <c r="K118" s="310"/>
      <c r="L118" s="310"/>
      <c r="M118" s="310"/>
      <c r="N118" s="310"/>
      <c r="O118" s="310"/>
      <c r="P118" s="310"/>
      <c r="Q118" s="310"/>
      <c r="R118" s="310"/>
      <c r="S118" s="310"/>
      <c r="T118" s="311">
        <f t="shared" si="2"/>
        <v>12473</v>
      </c>
      <c r="U118" s="310"/>
      <c r="V118" s="310"/>
      <c r="W118" s="310"/>
      <c r="X118" s="310"/>
      <c r="Y118" s="310"/>
      <c r="Z118" s="310"/>
      <c r="AA118" s="310"/>
      <c r="AB118" s="310">
        <v>12473</v>
      </c>
      <c r="AC118" s="310"/>
      <c r="AD118" s="310"/>
      <c r="AE118" s="311">
        <f t="shared" si="3"/>
        <v>12473</v>
      </c>
      <c r="AF118" s="309"/>
      <c r="AG118" s="307">
        <f t="shared" si="0"/>
        <v>0</v>
      </c>
    </row>
    <row r="119" spans="2:33" s="307" customFormat="1" ht="12.75">
      <c r="B119" s="274" t="s">
        <v>788</v>
      </c>
      <c r="C119" s="275" t="s">
        <v>789</v>
      </c>
      <c r="D119" s="275"/>
      <c r="E119" s="275" t="s">
        <v>590</v>
      </c>
      <c r="F119" s="274" t="s">
        <v>790</v>
      </c>
      <c r="G119" s="259">
        <v>7368</v>
      </c>
      <c r="H119" s="259">
        <v>1989</v>
      </c>
      <c r="I119" s="259"/>
      <c r="J119" s="259"/>
      <c r="K119" s="259"/>
      <c r="L119" s="259"/>
      <c r="M119" s="259"/>
      <c r="N119" s="259"/>
      <c r="O119" s="259"/>
      <c r="P119" s="259"/>
      <c r="Q119" s="259"/>
      <c r="R119" s="259"/>
      <c r="S119" s="259"/>
      <c r="T119" s="263">
        <f t="shared" si="2"/>
        <v>9357</v>
      </c>
      <c r="U119" s="274"/>
      <c r="V119" s="259"/>
      <c r="W119" s="259"/>
      <c r="X119" s="259"/>
      <c r="Y119" s="259"/>
      <c r="Z119" s="259"/>
      <c r="AA119" s="259"/>
      <c r="AB119" s="259">
        <v>9357</v>
      </c>
      <c r="AC119" s="259"/>
      <c r="AD119" s="259"/>
      <c r="AE119" s="311">
        <f t="shared" si="3"/>
        <v>9357</v>
      </c>
      <c r="AG119" s="307">
        <f t="shared" si="0"/>
        <v>0</v>
      </c>
    </row>
    <row r="120" spans="2:33" s="307" customFormat="1" ht="12.75">
      <c r="B120" s="274" t="s">
        <v>791</v>
      </c>
      <c r="C120" s="275" t="s">
        <v>792</v>
      </c>
      <c r="D120" s="275" t="s">
        <v>635</v>
      </c>
      <c r="E120" s="275" t="s">
        <v>745</v>
      </c>
      <c r="F120" s="301" t="s">
        <v>775</v>
      </c>
      <c r="G120" s="259"/>
      <c r="H120" s="259"/>
      <c r="I120" s="259">
        <v>50</v>
      </c>
      <c r="J120" s="259"/>
      <c r="K120" s="259"/>
      <c r="L120" s="259"/>
      <c r="M120" s="259"/>
      <c r="N120" s="259"/>
      <c r="O120" s="259"/>
      <c r="P120" s="259"/>
      <c r="Q120" s="259"/>
      <c r="R120" s="259"/>
      <c r="S120" s="259"/>
      <c r="T120" s="263">
        <f t="shared" si="2"/>
        <v>50</v>
      </c>
      <c r="U120" s="274"/>
      <c r="V120" s="259"/>
      <c r="W120" s="259">
        <v>50</v>
      </c>
      <c r="X120" s="259"/>
      <c r="Y120" s="259"/>
      <c r="Z120" s="259"/>
      <c r="AA120" s="259"/>
      <c r="AB120" s="259"/>
      <c r="AC120" s="259"/>
      <c r="AD120" s="259"/>
      <c r="AE120" s="311">
        <f t="shared" si="3"/>
        <v>50</v>
      </c>
      <c r="AG120" s="307">
        <f t="shared" si="0"/>
        <v>0</v>
      </c>
    </row>
    <row r="121" spans="2:33" s="307" customFormat="1" ht="12.75">
      <c r="B121" s="274"/>
      <c r="C121" s="275"/>
      <c r="D121" s="275" t="s">
        <v>637</v>
      </c>
      <c r="E121" s="275" t="s">
        <v>745</v>
      </c>
      <c r="F121" s="301" t="s">
        <v>774</v>
      </c>
      <c r="G121" s="259"/>
      <c r="H121" s="259"/>
      <c r="I121" s="259">
        <v>19046</v>
      </c>
      <c r="J121" s="259"/>
      <c r="K121" s="259"/>
      <c r="L121" s="259"/>
      <c r="M121" s="259"/>
      <c r="N121" s="259"/>
      <c r="O121" s="259"/>
      <c r="P121" s="259"/>
      <c r="Q121" s="259"/>
      <c r="R121" s="259"/>
      <c r="S121" s="259"/>
      <c r="T121" s="263">
        <f t="shared" si="2"/>
        <v>19046</v>
      </c>
      <c r="U121" s="274"/>
      <c r="V121" s="259"/>
      <c r="W121" s="259">
        <v>19046</v>
      </c>
      <c r="X121" s="259"/>
      <c r="Y121" s="259"/>
      <c r="Z121" s="259"/>
      <c r="AA121" s="259"/>
      <c r="AB121" s="259"/>
      <c r="AC121" s="259"/>
      <c r="AD121" s="259"/>
      <c r="AE121" s="311">
        <f t="shared" si="3"/>
        <v>19046</v>
      </c>
      <c r="AG121" s="307">
        <f t="shared" si="0"/>
        <v>0</v>
      </c>
    </row>
    <row r="122" spans="2:33" s="307" customFormat="1" ht="12.75">
      <c r="B122" s="274"/>
      <c r="C122" s="275"/>
      <c r="D122" s="275" t="s">
        <v>674</v>
      </c>
      <c r="E122" s="275" t="s">
        <v>745</v>
      </c>
      <c r="F122" s="284" t="s">
        <v>793</v>
      </c>
      <c r="G122" s="259"/>
      <c r="H122" s="259"/>
      <c r="I122" s="259">
        <v>33139</v>
      </c>
      <c r="J122" s="259"/>
      <c r="K122" s="259"/>
      <c r="L122" s="259"/>
      <c r="M122" s="259"/>
      <c r="N122" s="259"/>
      <c r="O122" s="259"/>
      <c r="P122" s="259"/>
      <c r="Q122" s="259"/>
      <c r="R122" s="259"/>
      <c r="S122" s="259"/>
      <c r="T122" s="263">
        <f aca="true" t="shared" si="11" ref="T122:T128">SUM(G122:S122)</f>
        <v>33139</v>
      </c>
      <c r="U122" s="274"/>
      <c r="V122" s="259"/>
      <c r="W122" s="259">
        <v>33139</v>
      </c>
      <c r="X122" s="259"/>
      <c r="Y122" s="259"/>
      <c r="Z122" s="259"/>
      <c r="AA122" s="259"/>
      <c r="AB122" s="259"/>
      <c r="AC122" s="259"/>
      <c r="AD122" s="259"/>
      <c r="AE122" s="311">
        <f aca="true" t="shared" si="12" ref="AE122:AE128">SUM(U122:AD122)</f>
        <v>33139</v>
      </c>
      <c r="AG122" s="307">
        <f t="shared" si="0"/>
        <v>0</v>
      </c>
    </row>
    <row r="123" spans="2:33" s="307" customFormat="1" ht="12.75">
      <c r="B123" s="274"/>
      <c r="C123" s="275"/>
      <c r="D123" s="285">
        <v>4007</v>
      </c>
      <c r="E123" s="276">
        <v>5</v>
      </c>
      <c r="F123" s="287" t="s">
        <v>794</v>
      </c>
      <c r="G123" s="259"/>
      <c r="H123" s="259"/>
      <c r="I123" s="259">
        <v>304</v>
      </c>
      <c r="J123" s="259"/>
      <c r="K123" s="259"/>
      <c r="L123" s="259"/>
      <c r="M123" s="259"/>
      <c r="N123" s="259"/>
      <c r="O123" s="259"/>
      <c r="P123" s="259"/>
      <c r="Q123" s="259"/>
      <c r="R123" s="259"/>
      <c r="S123" s="259"/>
      <c r="T123" s="263">
        <f t="shared" si="11"/>
        <v>304</v>
      </c>
      <c r="U123" s="274"/>
      <c r="V123" s="259"/>
      <c r="W123" s="259">
        <v>304</v>
      </c>
      <c r="X123" s="259"/>
      <c r="Y123" s="259"/>
      <c r="Z123" s="259"/>
      <c r="AA123" s="259"/>
      <c r="AB123" s="259"/>
      <c r="AC123" s="259"/>
      <c r="AD123" s="259"/>
      <c r="AE123" s="311">
        <f t="shared" si="12"/>
        <v>304</v>
      </c>
      <c r="AG123" s="307">
        <f t="shared" si="0"/>
        <v>0</v>
      </c>
    </row>
    <row r="124" spans="2:33" s="307" customFormat="1" ht="12.75">
      <c r="B124" s="274"/>
      <c r="C124" s="275"/>
      <c r="D124" s="285">
        <v>4007</v>
      </c>
      <c r="E124" s="276">
        <v>5</v>
      </c>
      <c r="F124" s="287" t="s">
        <v>795</v>
      </c>
      <c r="G124" s="259"/>
      <c r="H124" s="259"/>
      <c r="I124" s="259">
        <v>1626</v>
      </c>
      <c r="J124" s="259"/>
      <c r="K124" s="259"/>
      <c r="L124" s="259"/>
      <c r="M124" s="259"/>
      <c r="N124" s="259"/>
      <c r="O124" s="259"/>
      <c r="P124" s="259"/>
      <c r="Q124" s="259"/>
      <c r="R124" s="259"/>
      <c r="S124" s="259"/>
      <c r="T124" s="263">
        <f t="shared" si="11"/>
        <v>1626</v>
      </c>
      <c r="U124" s="274"/>
      <c r="V124" s="259"/>
      <c r="W124" s="259">
        <v>1626</v>
      </c>
      <c r="X124" s="259"/>
      <c r="Y124" s="259"/>
      <c r="Z124" s="259"/>
      <c r="AA124" s="259"/>
      <c r="AB124" s="259"/>
      <c r="AC124" s="259"/>
      <c r="AD124" s="259"/>
      <c r="AE124" s="311">
        <f t="shared" si="12"/>
        <v>1626</v>
      </c>
      <c r="AG124" s="307">
        <f t="shared" si="0"/>
        <v>0</v>
      </c>
    </row>
    <row r="125" spans="2:33" s="307" customFormat="1" ht="12.75">
      <c r="B125" s="274"/>
      <c r="C125" s="275"/>
      <c r="D125" s="275" t="s">
        <v>618</v>
      </c>
      <c r="E125" s="275" t="s">
        <v>745</v>
      </c>
      <c r="F125" s="284" t="s">
        <v>796</v>
      </c>
      <c r="G125" s="259"/>
      <c r="H125" s="259"/>
      <c r="I125" s="259">
        <v>779</v>
      </c>
      <c r="J125" s="259"/>
      <c r="K125" s="259"/>
      <c r="L125" s="259"/>
      <c r="M125" s="259"/>
      <c r="N125" s="259"/>
      <c r="O125" s="259"/>
      <c r="P125" s="259"/>
      <c r="Q125" s="259"/>
      <c r="R125" s="259"/>
      <c r="S125" s="259"/>
      <c r="T125" s="263">
        <f t="shared" si="11"/>
        <v>779</v>
      </c>
      <c r="U125" s="274"/>
      <c r="V125" s="259"/>
      <c r="W125" s="259">
        <v>779</v>
      </c>
      <c r="X125" s="259"/>
      <c r="Y125" s="259"/>
      <c r="Z125" s="259"/>
      <c r="AA125" s="259"/>
      <c r="AB125" s="259"/>
      <c r="AC125" s="259"/>
      <c r="AD125" s="259"/>
      <c r="AE125" s="311">
        <f t="shared" si="12"/>
        <v>779</v>
      </c>
      <c r="AG125" s="307">
        <f t="shared" si="0"/>
        <v>0</v>
      </c>
    </row>
    <row r="126" spans="2:33" s="307" customFormat="1" ht="12.75">
      <c r="B126" s="274"/>
      <c r="C126" s="275"/>
      <c r="D126" s="275" t="s">
        <v>618</v>
      </c>
      <c r="E126" s="275" t="s">
        <v>745</v>
      </c>
      <c r="F126" s="284" t="s">
        <v>797</v>
      </c>
      <c r="G126" s="259"/>
      <c r="H126" s="259"/>
      <c r="I126" s="259"/>
      <c r="J126" s="259"/>
      <c r="K126" s="259"/>
      <c r="L126" s="259"/>
      <c r="M126" s="259"/>
      <c r="N126" s="259"/>
      <c r="O126" s="259"/>
      <c r="P126" s="259"/>
      <c r="Q126" s="259">
        <v>66222</v>
      </c>
      <c r="R126" s="259"/>
      <c r="S126" s="259"/>
      <c r="T126" s="263">
        <f t="shared" si="11"/>
        <v>66222</v>
      </c>
      <c r="U126" s="274"/>
      <c r="V126" s="259"/>
      <c r="W126" s="259">
        <v>66222</v>
      </c>
      <c r="X126" s="259"/>
      <c r="Y126" s="259"/>
      <c r="Z126" s="259"/>
      <c r="AA126" s="259"/>
      <c r="AB126" s="259"/>
      <c r="AC126" s="259"/>
      <c r="AD126" s="259"/>
      <c r="AE126" s="311">
        <f t="shared" si="12"/>
        <v>66222</v>
      </c>
      <c r="AG126" s="307">
        <f t="shared" si="0"/>
        <v>0</v>
      </c>
    </row>
    <row r="127" spans="2:33" s="307" customFormat="1" ht="12.75">
      <c r="B127" s="274"/>
      <c r="C127" s="275"/>
      <c r="D127" s="275" t="s">
        <v>750</v>
      </c>
      <c r="E127" s="275" t="s">
        <v>745</v>
      </c>
      <c r="F127" s="302" t="s">
        <v>798</v>
      </c>
      <c r="G127" s="259"/>
      <c r="H127" s="259"/>
      <c r="I127" s="259">
        <v>41352</v>
      </c>
      <c r="J127" s="259"/>
      <c r="K127" s="259"/>
      <c r="L127" s="259"/>
      <c r="M127" s="259"/>
      <c r="N127" s="259"/>
      <c r="O127" s="259"/>
      <c r="P127" s="259"/>
      <c r="Q127" s="259"/>
      <c r="R127" s="259"/>
      <c r="S127" s="259"/>
      <c r="T127" s="263">
        <f t="shared" si="11"/>
        <v>41352</v>
      </c>
      <c r="U127" s="274"/>
      <c r="V127" s="259">
        <v>41352</v>
      </c>
      <c r="W127" s="259"/>
      <c r="X127" s="259"/>
      <c r="Y127" s="259"/>
      <c r="Z127" s="259"/>
      <c r="AA127" s="259"/>
      <c r="AB127" s="259"/>
      <c r="AC127" s="259"/>
      <c r="AD127" s="259"/>
      <c r="AE127" s="311">
        <f t="shared" si="12"/>
        <v>41352</v>
      </c>
      <c r="AG127" s="307">
        <f t="shared" si="0"/>
        <v>0</v>
      </c>
    </row>
    <row r="128" spans="2:33" s="307" customFormat="1" ht="12.75">
      <c r="B128" s="274"/>
      <c r="C128" s="275"/>
      <c r="D128" s="275" t="s">
        <v>750</v>
      </c>
      <c r="E128" s="275" t="s">
        <v>745</v>
      </c>
      <c r="F128" s="302" t="s">
        <v>799</v>
      </c>
      <c r="G128" s="259"/>
      <c r="H128" s="259"/>
      <c r="I128" s="259">
        <v>221537</v>
      </c>
      <c r="J128" s="259"/>
      <c r="K128" s="259"/>
      <c r="L128" s="259"/>
      <c r="M128" s="259"/>
      <c r="N128" s="259"/>
      <c r="O128" s="259"/>
      <c r="P128" s="259"/>
      <c r="Q128" s="259"/>
      <c r="R128" s="259"/>
      <c r="S128" s="259"/>
      <c r="T128" s="263">
        <f t="shared" si="11"/>
        <v>221537</v>
      </c>
      <c r="U128" s="274"/>
      <c r="V128" s="259">
        <v>110769</v>
      </c>
      <c r="W128" s="259">
        <v>110768</v>
      </c>
      <c r="X128" s="259"/>
      <c r="Y128" s="259"/>
      <c r="Z128" s="259"/>
      <c r="AA128" s="259"/>
      <c r="AB128" s="259"/>
      <c r="AC128" s="259"/>
      <c r="AD128" s="259"/>
      <c r="AE128" s="311">
        <f t="shared" si="12"/>
        <v>221537</v>
      </c>
      <c r="AG128" s="307">
        <f t="shared" si="0"/>
        <v>0</v>
      </c>
    </row>
    <row r="129" spans="2:34" s="307" customFormat="1" ht="12.75">
      <c r="B129" s="274"/>
      <c r="C129" s="275"/>
      <c r="D129" s="275" t="s">
        <v>750</v>
      </c>
      <c r="E129" s="275" t="s">
        <v>745</v>
      </c>
      <c r="F129" s="274" t="s">
        <v>800</v>
      </c>
      <c r="G129" s="259"/>
      <c r="H129" s="259"/>
      <c r="I129" s="259">
        <v>261006</v>
      </c>
      <c r="J129" s="259"/>
      <c r="K129" s="259"/>
      <c r="L129" s="259"/>
      <c r="M129" s="259"/>
      <c r="N129" s="259"/>
      <c r="O129" s="259"/>
      <c r="P129" s="259"/>
      <c r="Q129" s="259"/>
      <c r="R129" s="259"/>
      <c r="S129" s="259"/>
      <c r="T129" s="263">
        <f>SUM(G129:S129)</f>
        <v>261006</v>
      </c>
      <c r="U129" s="274"/>
      <c r="V129" s="259">
        <v>261006</v>
      </c>
      <c r="W129" s="259"/>
      <c r="X129" s="259"/>
      <c r="Y129" s="259"/>
      <c r="Z129" s="259"/>
      <c r="AA129" s="259"/>
      <c r="AB129" s="259"/>
      <c r="AC129" s="259"/>
      <c r="AD129" s="259"/>
      <c r="AE129" s="311">
        <f>SUM(U129:AD129)</f>
        <v>261006</v>
      </c>
      <c r="AG129" s="307">
        <f t="shared" si="0"/>
        <v>0</v>
      </c>
      <c r="AH129" s="307">
        <f>SUM(AE120:AE129)</f>
        <v>645061</v>
      </c>
    </row>
    <row r="130" spans="2:33" s="307" customFormat="1" ht="12.75">
      <c r="B130" s="274" t="s">
        <v>801</v>
      </c>
      <c r="C130" s="275" t="s">
        <v>802</v>
      </c>
      <c r="D130" s="275" t="s">
        <v>803</v>
      </c>
      <c r="E130" s="275" t="s">
        <v>585</v>
      </c>
      <c r="F130" s="274" t="s">
        <v>804</v>
      </c>
      <c r="G130" s="259"/>
      <c r="H130" s="259"/>
      <c r="I130" s="259">
        <v>3000</v>
      </c>
      <c r="J130" s="259"/>
      <c r="K130" s="259"/>
      <c r="L130" s="259"/>
      <c r="M130" s="259"/>
      <c r="N130" s="259"/>
      <c r="O130" s="259"/>
      <c r="P130" s="259"/>
      <c r="Q130" s="259"/>
      <c r="R130" s="259"/>
      <c r="S130" s="259"/>
      <c r="T130" s="263">
        <f>SUM(G130:S130)</f>
        <v>3000</v>
      </c>
      <c r="U130" s="274"/>
      <c r="V130" s="259"/>
      <c r="W130" s="259"/>
      <c r="X130" s="259"/>
      <c r="Y130" s="259"/>
      <c r="Z130" s="259"/>
      <c r="AA130" s="259"/>
      <c r="AB130" s="259">
        <v>3000</v>
      </c>
      <c r="AC130" s="259"/>
      <c r="AD130" s="259"/>
      <c r="AE130" s="311">
        <f>SUM(U130:AD130)</f>
        <v>3000</v>
      </c>
      <c r="AG130" s="307">
        <f t="shared" si="0"/>
        <v>0</v>
      </c>
    </row>
    <row r="131" spans="2:33" s="307" customFormat="1" ht="12.75">
      <c r="B131" s="274" t="s">
        <v>805</v>
      </c>
      <c r="C131" s="275" t="s">
        <v>806</v>
      </c>
      <c r="D131" s="275" t="s">
        <v>629</v>
      </c>
      <c r="E131" s="275" t="s">
        <v>745</v>
      </c>
      <c r="F131" s="274" t="s">
        <v>769</v>
      </c>
      <c r="G131" s="259"/>
      <c r="H131" s="259"/>
      <c r="I131" s="259"/>
      <c r="J131" s="259"/>
      <c r="K131" s="259"/>
      <c r="L131" s="259"/>
      <c r="M131" s="259"/>
      <c r="N131" s="259"/>
      <c r="O131" s="259"/>
      <c r="P131" s="259"/>
      <c r="Q131" s="259">
        <v>641010</v>
      </c>
      <c r="R131" s="259"/>
      <c r="S131" s="259"/>
      <c r="T131" s="263">
        <f aca="true" t="shared" si="13" ref="T131:T149">SUM(G131:S131)</f>
        <v>641010</v>
      </c>
      <c r="U131" s="274"/>
      <c r="V131" s="259"/>
      <c r="W131" s="259"/>
      <c r="X131" s="259"/>
      <c r="Y131" s="259"/>
      <c r="Z131" s="259"/>
      <c r="AA131" s="259">
        <v>641010</v>
      </c>
      <c r="AB131" s="259"/>
      <c r="AC131" s="259"/>
      <c r="AD131" s="259"/>
      <c r="AE131" s="311">
        <f aca="true" t="shared" si="14" ref="AE131:AE149">SUM(U131:AD131)</f>
        <v>641010</v>
      </c>
      <c r="AG131" s="307">
        <f t="shared" si="0"/>
        <v>0</v>
      </c>
    </row>
    <row r="132" spans="2:33" s="307" customFormat="1" ht="12.75">
      <c r="B132" s="274"/>
      <c r="C132" s="275"/>
      <c r="D132" s="275" t="s">
        <v>735</v>
      </c>
      <c r="E132" s="275" t="s">
        <v>745</v>
      </c>
      <c r="F132" s="274" t="s">
        <v>807</v>
      </c>
      <c r="G132" s="259"/>
      <c r="H132" s="259"/>
      <c r="I132" s="259">
        <v>60959</v>
      </c>
      <c r="J132" s="259"/>
      <c r="K132" s="259"/>
      <c r="L132" s="259"/>
      <c r="M132" s="259"/>
      <c r="N132" s="259"/>
      <c r="O132" s="259"/>
      <c r="P132" s="259"/>
      <c r="Q132" s="259"/>
      <c r="R132" s="259"/>
      <c r="S132" s="259"/>
      <c r="T132" s="263">
        <f t="shared" si="13"/>
        <v>60959</v>
      </c>
      <c r="U132" s="274"/>
      <c r="V132" s="259"/>
      <c r="W132" s="259">
        <v>60959</v>
      </c>
      <c r="X132" s="259"/>
      <c r="Y132" s="259"/>
      <c r="Z132" s="259"/>
      <c r="AA132" s="259"/>
      <c r="AB132" s="259"/>
      <c r="AC132" s="259"/>
      <c r="AD132" s="259"/>
      <c r="AE132" s="311">
        <f t="shared" si="14"/>
        <v>60959</v>
      </c>
      <c r="AG132" s="307">
        <f t="shared" si="0"/>
        <v>0</v>
      </c>
    </row>
    <row r="133" spans="2:33" s="307" customFormat="1" ht="12.75">
      <c r="B133" s="274"/>
      <c r="C133" s="275"/>
      <c r="D133" s="275" t="s">
        <v>637</v>
      </c>
      <c r="E133" s="275" t="s">
        <v>745</v>
      </c>
      <c r="F133" s="301" t="s">
        <v>774</v>
      </c>
      <c r="G133" s="259"/>
      <c r="H133" s="259"/>
      <c r="I133" s="259">
        <v>180</v>
      </c>
      <c r="J133" s="259"/>
      <c r="K133" s="259"/>
      <c r="L133" s="259"/>
      <c r="M133" s="259"/>
      <c r="N133" s="259"/>
      <c r="O133" s="259"/>
      <c r="P133" s="259"/>
      <c r="Q133" s="259"/>
      <c r="R133" s="259"/>
      <c r="S133" s="259"/>
      <c r="T133" s="263">
        <f t="shared" si="13"/>
        <v>180</v>
      </c>
      <c r="U133" s="274"/>
      <c r="V133" s="259"/>
      <c r="W133" s="259">
        <v>180</v>
      </c>
      <c r="X133" s="259"/>
      <c r="Y133" s="259"/>
      <c r="Z133" s="259"/>
      <c r="AA133" s="259"/>
      <c r="AB133" s="259"/>
      <c r="AC133" s="259"/>
      <c r="AD133" s="259"/>
      <c r="AE133" s="311">
        <f t="shared" si="14"/>
        <v>180</v>
      </c>
      <c r="AG133" s="307">
        <f t="shared" si="0"/>
        <v>0</v>
      </c>
    </row>
    <row r="134" spans="2:33" s="307" customFormat="1" ht="12.75">
      <c r="B134" s="274"/>
      <c r="C134" s="275"/>
      <c r="D134" s="275" t="s">
        <v>637</v>
      </c>
      <c r="E134" s="275" t="s">
        <v>745</v>
      </c>
      <c r="F134" s="301" t="s">
        <v>774</v>
      </c>
      <c r="G134" s="259"/>
      <c r="H134" s="259"/>
      <c r="I134" s="259">
        <v>19046</v>
      </c>
      <c r="J134" s="259"/>
      <c r="K134" s="259"/>
      <c r="L134" s="259"/>
      <c r="M134" s="259"/>
      <c r="N134" s="259"/>
      <c r="O134" s="259"/>
      <c r="P134" s="259"/>
      <c r="Q134" s="259"/>
      <c r="R134" s="259"/>
      <c r="S134" s="259"/>
      <c r="T134" s="263">
        <f t="shared" si="13"/>
        <v>19046</v>
      </c>
      <c r="U134" s="274"/>
      <c r="V134" s="259"/>
      <c r="W134" s="259">
        <v>19046</v>
      </c>
      <c r="X134" s="259"/>
      <c r="Y134" s="259"/>
      <c r="Z134" s="259"/>
      <c r="AA134" s="259"/>
      <c r="AB134" s="259"/>
      <c r="AC134" s="259"/>
      <c r="AD134" s="259"/>
      <c r="AE134" s="311">
        <f t="shared" si="14"/>
        <v>19046</v>
      </c>
      <c r="AG134" s="307">
        <f t="shared" si="0"/>
        <v>0</v>
      </c>
    </row>
    <row r="135" spans="2:33" s="307" customFormat="1" ht="12.75">
      <c r="B135" s="274"/>
      <c r="C135" s="275"/>
      <c r="D135" s="275" t="s">
        <v>637</v>
      </c>
      <c r="E135" s="275" t="s">
        <v>745</v>
      </c>
      <c r="F135" s="301" t="s">
        <v>774</v>
      </c>
      <c r="G135" s="259"/>
      <c r="H135" s="259"/>
      <c r="I135" s="259">
        <v>317</v>
      </c>
      <c r="J135" s="259"/>
      <c r="K135" s="259"/>
      <c r="L135" s="259"/>
      <c r="M135" s="259"/>
      <c r="N135" s="259"/>
      <c r="O135" s="259"/>
      <c r="P135" s="259"/>
      <c r="Q135" s="259"/>
      <c r="R135" s="259"/>
      <c r="S135" s="259"/>
      <c r="T135" s="263">
        <f t="shared" si="13"/>
        <v>317</v>
      </c>
      <c r="U135" s="274"/>
      <c r="V135" s="259"/>
      <c r="W135" s="259">
        <v>317</v>
      </c>
      <c r="X135" s="259"/>
      <c r="Y135" s="259"/>
      <c r="Z135" s="259"/>
      <c r="AA135" s="259"/>
      <c r="AB135" s="259"/>
      <c r="AC135" s="259"/>
      <c r="AD135" s="259"/>
      <c r="AE135" s="311">
        <f t="shared" si="14"/>
        <v>317</v>
      </c>
      <c r="AG135" s="307">
        <f t="shared" si="0"/>
        <v>0</v>
      </c>
    </row>
    <row r="136" spans="2:33" s="307" customFormat="1" ht="12.75">
      <c r="B136" s="274"/>
      <c r="C136" s="275"/>
      <c r="D136" s="275" t="s">
        <v>637</v>
      </c>
      <c r="E136" s="275" t="s">
        <v>745</v>
      </c>
      <c r="F136" s="301" t="s">
        <v>774</v>
      </c>
      <c r="G136" s="259"/>
      <c r="H136" s="259"/>
      <c r="I136" s="259">
        <v>27630</v>
      </c>
      <c r="J136" s="259"/>
      <c r="K136" s="259"/>
      <c r="L136" s="259"/>
      <c r="M136" s="259"/>
      <c r="N136" s="259"/>
      <c r="O136" s="259"/>
      <c r="P136" s="259"/>
      <c r="Q136" s="259"/>
      <c r="R136" s="259"/>
      <c r="S136" s="259"/>
      <c r="T136" s="263">
        <f t="shared" si="13"/>
        <v>27630</v>
      </c>
      <c r="U136" s="274"/>
      <c r="V136" s="259"/>
      <c r="W136" s="259">
        <v>27630</v>
      </c>
      <c r="X136" s="259"/>
      <c r="Y136" s="259"/>
      <c r="Z136" s="259"/>
      <c r="AA136" s="259"/>
      <c r="AB136" s="259"/>
      <c r="AC136" s="259"/>
      <c r="AD136" s="259"/>
      <c r="AE136" s="311">
        <f t="shared" si="14"/>
        <v>27630</v>
      </c>
      <c r="AG136" s="307">
        <f t="shared" si="0"/>
        <v>0</v>
      </c>
    </row>
    <row r="137" spans="2:33" s="307" customFormat="1" ht="12.75">
      <c r="B137" s="274"/>
      <c r="C137" s="275"/>
      <c r="D137" s="275" t="s">
        <v>635</v>
      </c>
      <c r="E137" s="275" t="s">
        <v>745</v>
      </c>
      <c r="F137" s="301" t="s">
        <v>775</v>
      </c>
      <c r="G137" s="259"/>
      <c r="H137" s="259"/>
      <c r="I137" s="259">
        <v>2789</v>
      </c>
      <c r="J137" s="259"/>
      <c r="K137" s="259"/>
      <c r="L137" s="259"/>
      <c r="M137" s="259"/>
      <c r="N137" s="259"/>
      <c r="O137" s="259"/>
      <c r="P137" s="259"/>
      <c r="Q137" s="259"/>
      <c r="R137" s="259"/>
      <c r="S137" s="259"/>
      <c r="T137" s="263">
        <f t="shared" si="13"/>
        <v>2789</v>
      </c>
      <c r="U137" s="274"/>
      <c r="V137" s="259"/>
      <c r="W137" s="259">
        <v>2789</v>
      </c>
      <c r="X137" s="259"/>
      <c r="Y137" s="259"/>
      <c r="Z137" s="259"/>
      <c r="AA137" s="259"/>
      <c r="AB137" s="259"/>
      <c r="AC137" s="259"/>
      <c r="AD137" s="259"/>
      <c r="AE137" s="311">
        <f t="shared" si="14"/>
        <v>2789</v>
      </c>
      <c r="AG137" s="307">
        <f t="shared" si="0"/>
        <v>0</v>
      </c>
    </row>
    <row r="138" spans="2:33" s="307" customFormat="1" ht="12.75">
      <c r="B138" s="274"/>
      <c r="C138" s="275"/>
      <c r="D138" s="275" t="s">
        <v>808</v>
      </c>
      <c r="E138" s="275" t="s">
        <v>745</v>
      </c>
      <c r="F138" s="313" t="s">
        <v>809</v>
      </c>
      <c r="G138" s="259">
        <v>4700</v>
      </c>
      <c r="H138" s="259">
        <v>1300</v>
      </c>
      <c r="I138" s="259"/>
      <c r="J138" s="259"/>
      <c r="K138" s="259"/>
      <c r="L138" s="259"/>
      <c r="M138" s="259"/>
      <c r="N138" s="259"/>
      <c r="O138" s="259"/>
      <c r="P138" s="259"/>
      <c r="Q138" s="259"/>
      <c r="R138" s="259"/>
      <c r="S138" s="259"/>
      <c r="T138" s="263">
        <f t="shared" si="13"/>
        <v>6000</v>
      </c>
      <c r="U138" s="274"/>
      <c r="V138" s="259">
        <v>6000</v>
      </c>
      <c r="W138" s="259"/>
      <c r="X138" s="259"/>
      <c r="Y138" s="259"/>
      <c r="Z138" s="259"/>
      <c r="AA138" s="259"/>
      <c r="AB138" s="259"/>
      <c r="AC138" s="259"/>
      <c r="AD138" s="259"/>
      <c r="AE138" s="311">
        <f t="shared" si="14"/>
        <v>6000</v>
      </c>
      <c r="AG138" s="307">
        <f t="shared" si="0"/>
        <v>0</v>
      </c>
    </row>
    <row r="139" spans="2:33" s="307" customFormat="1" ht="12.75">
      <c r="B139" s="274"/>
      <c r="C139" s="275"/>
      <c r="D139" s="275"/>
      <c r="E139" s="275" t="s">
        <v>745</v>
      </c>
      <c r="F139" s="313" t="s">
        <v>810</v>
      </c>
      <c r="G139" s="259"/>
      <c r="H139" s="259"/>
      <c r="I139" s="259">
        <v>4572</v>
      </c>
      <c r="J139" s="259"/>
      <c r="K139" s="259"/>
      <c r="L139" s="259"/>
      <c r="M139" s="259"/>
      <c r="N139" s="259"/>
      <c r="O139" s="259"/>
      <c r="P139" s="259"/>
      <c r="Q139" s="259"/>
      <c r="R139" s="259"/>
      <c r="S139" s="259"/>
      <c r="T139" s="263">
        <f t="shared" si="13"/>
        <v>4572</v>
      </c>
      <c r="U139" s="274"/>
      <c r="V139" s="259">
        <v>4572</v>
      </c>
      <c r="W139" s="259"/>
      <c r="X139" s="259"/>
      <c r="Y139" s="259"/>
      <c r="Z139" s="259"/>
      <c r="AA139" s="259"/>
      <c r="AB139" s="259"/>
      <c r="AC139" s="259"/>
      <c r="AD139" s="259"/>
      <c r="AE139" s="311">
        <f t="shared" si="14"/>
        <v>4572</v>
      </c>
      <c r="AG139" s="307">
        <f t="shared" si="0"/>
        <v>0</v>
      </c>
    </row>
    <row r="140" spans="2:33" s="307" customFormat="1" ht="12.75">
      <c r="B140" s="274"/>
      <c r="C140" s="275"/>
      <c r="D140" s="275" t="s">
        <v>811</v>
      </c>
      <c r="E140" s="275" t="s">
        <v>745</v>
      </c>
      <c r="F140" s="313" t="s">
        <v>812</v>
      </c>
      <c r="G140" s="259">
        <v>350</v>
      </c>
      <c r="H140" s="259"/>
      <c r="I140" s="259">
        <v>4650</v>
      </c>
      <c r="J140" s="259"/>
      <c r="K140" s="259"/>
      <c r="L140" s="259"/>
      <c r="M140" s="259"/>
      <c r="N140" s="259"/>
      <c r="O140" s="259"/>
      <c r="P140" s="259"/>
      <c r="Q140" s="259"/>
      <c r="R140" s="259"/>
      <c r="S140" s="259"/>
      <c r="T140" s="263">
        <f t="shared" si="13"/>
        <v>5000</v>
      </c>
      <c r="U140" s="274"/>
      <c r="V140" s="259">
        <v>5000</v>
      </c>
      <c r="W140" s="259"/>
      <c r="X140" s="259"/>
      <c r="Y140" s="259"/>
      <c r="Z140" s="259"/>
      <c r="AA140" s="259"/>
      <c r="AB140" s="259"/>
      <c r="AC140" s="259"/>
      <c r="AD140" s="259"/>
      <c r="AE140" s="311">
        <f t="shared" si="14"/>
        <v>5000</v>
      </c>
      <c r="AG140" s="307">
        <f t="shared" si="0"/>
        <v>0</v>
      </c>
    </row>
    <row r="141" spans="2:33" s="307" customFormat="1" ht="12.75">
      <c r="B141" s="274"/>
      <c r="C141" s="275"/>
      <c r="D141" s="275" t="s">
        <v>813</v>
      </c>
      <c r="E141" s="275" t="s">
        <v>745</v>
      </c>
      <c r="F141" s="313" t="s">
        <v>814</v>
      </c>
      <c r="G141" s="259">
        <v>140</v>
      </c>
      <c r="H141" s="259"/>
      <c r="I141" s="259">
        <v>3925</v>
      </c>
      <c r="J141" s="259"/>
      <c r="K141" s="259"/>
      <c r="L141" s="259"/>
      <c r="M141" s="259"/>
      <c r="N141" s="259"/>
      <c r="O141" s="259"/>
      <c r="P141" s="259"/>
      <c r="Q141" s="259"/>
      <c r="R141" s="259"/>
      <c r="S141" s="259"/>
      <c r="T141" s="263">
        <f t="shared" si="13"/>
        <v>4065</v>
      </c>
      <c r="U141" s="274"/>
      <c r="V141" s="259">
        <v>4065</v>
      </c>
      <c r="W141" s="259"/>
      <c r="X141" s="259"/>
      <c r="Y141" s="259"/>
      <c r="Z141" s="259"/>
      <c r="AA141" s="259"/>
      <c r="AB141" s="259"/>
      <c r="AC141" s="259"/>
      <c r="AD141" s="259"/>
      <c r="AE141" s="311">
        <f t="shared" si="14"/>
        <v>4065</v>
      </c>
      <c r="AG141" s="307">
        <f t="shared" si="0"/>
        <v>0</v>
      </c>
    </row>
    <row r="142" spans="2:33" s="307" customFormat="1" ht="12.75">
      <c r="B142" s="274"/>
      <c r="C142" s="275"/>
      <c r="D142" s="275" t="s">
        <v>618</v>
      </c>
      <c r="E142" s="275" t="s">
        <v>745</v>
      </c>
      <c r="F142" s="284" t="s">
        <v>815</v>
      </c>
      <c r="G142" s="259"/>
      <c r="H142" s="259"/>
      <c r="I142" s="259">
        <v>1122</v>
      </c>
      <c r="J142" s="259"/>
      <c r="K142" s="259"/>
      <c r="L142" s="259"/>
      <c r="M142" s="259"/>
      <c r="N142" s="259"/>
      <c r="O142" s="259"/>
      <c r="P142" s="259"/>
      <c r="Q142" s="259"/>
      <c r="R142" s="259"/>
      <c r="S142" s="259"/>
      <c r="T142" s="263">
        <f t="shared" si="13"/>
        <v>1122</v>
      </c>
      <c r="U142" s="274"/>
      <c r="V142" s="259"/>
      <c r="W142" s="259">
        <v>1122</v>
      </c>
      <c r="X142" s="259"/>
      <c r="Y142" s="259"/>
      <c r="Z142" s="259"/>
      <c r="AA142" s="259"/>
      <c r="AB142" s="259"/>
      <c r="AC142" s="259"/>
      <c r="AD142" s="259"/>
      <c r="AE142" s="311">
        <f t="shared" si="14"/>
        <v>1122</v>
      </c>
      <c r="AG142" s="307">
        <f t="shared" si="0"/>
        <v>0</v>
      </c>
    </row>
    <row r="143" spans="2:33" s="307" customFormat="1" ht="12.75">
      <c r="B143" s="274"/>
      <c r="C143" s="275"/>
      <c r="D143" s="275" t="s">
        <v>618</v>
      </c>
      <c r="E143" s="275" t="s">
        <v>745</v>
      </c>
      <c r="F143" s="302" t="s">
        <v>797</v>
      </c>
      <c r="G143" s="259"/>
      <c r="H143" s="259"/>
      <c r="I143" s="259">
        <v>46012</v>
      </c>
      <c r="J143" s="259"/>
      <c r="K143" s="259">
        <v>5000</v>
      </c>
      <c r="L143" s="259"/>
      <c r="M143" s="259"/>
      <c r="N143" s="259"/>
      <c r="O143" s="259"/>
      <c r="P143" s="259"/>
      <c r="Q143" s="259"/>
      <c r="R143" s="259"/>
      <c r="S143" s="259"/>
      <c r="T143" s="263">
        <f t="shared" si="13"/>
        <v>51012</v>
      </c>
      <c r="U143" s="274"/>
      <c r="V143" s="259"/>
      <c r="W143" s="259">
        <v>51012</v>
      </c>
      <c r="X143" s="259"/>
      <c r="Y143" s="259"/>
      <c r="Z143" s="259"/>
      <c r="AA143" s="259"/>
      <c r="AB143" s="259"/>
      <c r="AC143" s="259"/>
      <c r="AD143" s="259"/>
      <c r="AE143" s="311">
        <f t="shared" si="14"/>
        <v>51012</v>
      </c>
      <c r="AG143" s="307">
        <f t="shared" si="0"/>
        <v>0</v>
      </c>
    </row>
    <row r="144" spans="2:33" s="307" customFormat="1" ht="12.75">
      <c r="B144" s="274"/>
      <c r="C144" s="275"/>
      <c r="D144" s="275" t="s">
        <v>690</v>
      </c>
      <c r="E144" s="275">
        <v>5</v>
      </c>
      <c r="F144" s="302" t="s">
        <v>691</v>
      </c>
      <c r="G144" s="259"/>
      <c r="H144" s="259"/>
      <c r="I144" s="259">
        <v>52537</v>
      </c>
      <c r="J144" s="259"/>
      <c r="K144" s="259"/>
      <c r="L144" s="259"/>
      <c r="M144" s="259"/>
      <c r="N144" s="259"/>
      <c r="O144" s="259"/>
      <c r="P144" s="259"/>
      <c r="Q144" s="259"/>
      <c r="R144" s="259"/>
      <c r="S144" s="259"/>
      <c r="T144" s="263">
        <f t="shared" si="13"/>
        <v>52537</v>
      </c>
      <c r="U144" s="274"/>
      <c r="V144" s="259"/>
      <c r="W144" s="278">
        <v>52537</v>
      </c>
      <c r="X144" s="259"/>
      <c r="Y144" s="259"/>
      <c r="Z144" s="259"/>
      <c r="AA144" s="259"/>
      <c r="AB144" s="259"/>
      <c r="AC144" s="259"/>
      <c r="AD144" s="259"/>
      <c r="AE144" s="311">
        <f t="shared" si="14"/>
        <v>52537</v>
      </c>
      <c r="AG144" s="307">
        <f t="shared" si="0"/>
        <v>0</v>
      </c>
    </row>
    <row r="145" spans="2:33" s="307" customFormat="1" ht="12.75">
      <c r="B145" s="274"/>
      <c r="C145" s="275"/>
      <c r="D145" s="275" t="s">
        <v>816</v>
      </c>
      <c r="E145" s="275" t="s">
        <v>745</v>
      </c>
      <c r="F145" s="313" t="s">
        <v>817</v>
      </c>
      <c r="G145" s="259">
        <v>2500</v>
      </c>
      <c r="H145" s="259">
        <v>675</v>
      </c>
      <c r="I145" s="259">
        <v>11649</v>
      </c>
      <c r="J145" s="259"/>
      <c r="K145" s="259"/>
      <c r="L145" s="259"/>
      <c r="M145" s="259"/>
      <c r="N145" s="259"/>
      <c r="O145" s="259"/>
      <c r="P145" s="259"/>
      <c r="Q145" s="259"/>
      <c r="R145" s="259"/>
      <c r="S145" s="259"/>
      <c r="T145" s="263">
        <f t="shared" si="13"/>
        <v>14824</v>
      </c>
      <c r="U145" s="274"/>
      <c r="V145" s="259">
        <v>14824</v>
      </c>
      <c r="W145" s="259"/>
      <c r="X145" s="259"/>
      <c r="Y145" s="259"/>
      <c r="Z145" s="259"/>
      <c r="AA145" s="259"/>
      <c r="AB145" s="259"/>
      <c r="AC145" s="259"/>
      <c r="AD145" s="259"/>
      <c r="AE145" s="311">
        <f t="shared" si="14"/>
        <v>14824</v>
      </c>
      <c r="AG145" s="307">
        <f t="shared" si="0"/>
        <v>0</v>
      </c>
    </row>
    <row r="146" spans="2:33" s="307" customFormat="1" ht="12.75">
      <c r="B146" s="274"/>
      <c r="C146" s="275"/>
      <c r="D146" s="275"/>
      <c r="E146" s="275" t="s">
        <v>745</v>
      </c>
      <c r="F146" s="313" t="s">
        <v>172</v>
      </c>
      <c r="G146" s="259"/>
      <c r="H146" s="259"/>
      <c r="I146" s="259">
        <v>-3000</v>
      </c>
      <c r="J146" s="259"/>
      <c r="K146" s="259">
        <v>3000</v>
      </c>
      <c r="L146" s="259"/>
      <c r="M146" s="259"/>
      <c r="N146" s="259"/>
      <c r="O146" s="259"/>
      <c r="P146" s="259"/>
      <c r="Q146" s="259"/>
      <c r="R146" s="259"/>
      <c r="S146" s="259"/>
      <c r="T146" s="263">
        <f t="shared" si="13"/>
        <v>0</v>
      </c>
      <c r="U146" s="274"/>
      <c r="V146" s="259"/>
      <c r="W146" s="259"/>
      <c r="X146" s="259"/>
      <c r="Y146" s="259"/>
      <c r="Z146" s="259"/>
      <c r="AA146" s="259"/>
      <c r="AB146" s="259"/>
      <c r="AC146" s="259"/>
      <c r="AD146" s="259"/>
      <c r="AE146" s="311">
        <f t="shared" si="14"/>
        <v>0</v>
      </c>
      <c r="AG146" s="307">
        <f t="shared" si="0"/>
        <v>0</v>
      </c>
    </row>
    <row r="147" spans="2:33" s="307" customFormat="1" ht="12.75">
      <c r="B147" s="274"/>
      <c r="C147" s="275"/>
      <c r="D147" s="275"/>
      <c r="E147" s="275" t="s">
        <v>745</v>
      </c>
      <c r="F147" s="313" t="s">
        <v>818</v>
      </c>
      <c r="G147" s="259"/>
      <c r="H147" s="259"/>
      <c r="I147" s="259">
        <v>-19992</v>
      </c>
      <c r="J147" s="259"/>
      <c r="K147" s="259">
        <v>19992</v>
      </c>
      <c r="L147" s="259"/>
      <c r="M147" s="259"/>
      <c r="N147" s="259"/>
      <c r="O147" s="259"/>
      <c r="P147" s="259"/>
      <c r="Q147" s="259"/>
      <c r="R147" s="259"/>
      <c r="S147" s="259"/>
      <c r="T147" s="263">
        <f t="shared" si="13"/>
        <v>0</v>
      </c>
      <c r="U147" s="274"/>
      <c r="V147" s="259"/>
      <c r="W147" s="259"/>
      <c r="X147" s="259"/>
      <c r="Y147" s="259"/>
      <c r="Z147" s="259"/>
      <c r="AA147" s="259"/>
      <c r="AB147" s="259"/>
      <c r="AC147" s="259"/>
      <c r="AD147" s="259"/>
      <c r="AE147" s="311">
        <f t="shared" si="14"/>
        <v>0</v>
      </c>
      <c r="AG147" s="307">
        <f t="shared" si="0"/>
        <v>0</v>
      </c>
    </row>
    <row r="148" spans="2:33" s="307" customFormat="1" ht="12.75">
      <c r="B148" s="274"/>
      <c r="C148" s="275"/>
      <c r="D148" s="275"/>
      <c r="E148" s="275" t="s">
        <v>745</v>
      </c>
      <c r="F148" s="313" t="s">
        <v>819</v>
      </c>
      <c r="G148" s="259"/>
      <c r="H148" s="259"/>
      <c r="I148" s="259">
        <v>-500</v>
      </c>
      <c r="J148" s="259"/>
      <c r="K148" s="259">
        <v>500</v>
      </c>
      <c r="L148" s="259"/>
      <c r="M148" s="259"/>
      <c r="N148" s="259"/>
      <c r="O148" s="259"/>
      <c r="P148" s="259"/>
      <c r="Q148" s="259"/>
      <c r="R148" s="259"/>
      <c r="S148" s="259"/>
      <c r="T148" s="263">
        <f t="shared" si="13"/>
        <v>0</v>
      </c>
      <c r="U148" s="274"/>
      <c r="V148" s="259"/>
      <c r="W148" s="259"/>
      <c r="X148" s="259"/>
      <c r="Y148" s="259"/>
      <c r="Z148" s="259"/>
      <c r="AA148" s="259"/>
      <c r="AB148" s="259"/>
      <c r="AC148" s="259"/>
      <c r="AD148" s="259"/>
      <c r="AE148" s="311">
        <f t="shared" si="14"/>
        <v>0</v>
      </c>
      <c r="AG148" s="307">
        <f t="shared" si="0"/>
        <v>0</v>
      </c>
    </row>
    <row r="149" spans="2:33" s="307" customFormat="1" ht="12.75">
      <c r="B149" s="274"/>
      <c r="C149" s="275"/>
      <c r="D149" s="275"/>
      <c r="E149" s="275" t="s">
        <v>745</v>
      </c>
      <c r="F149" s="313" t="s">
        <v>820</v>
      </c>
      <c r="G149" s="259"/>
      <c r="H149" s="259"/>
      <c r="I149" s="259">
        <v>-5000</v>
      </c>
      <c r="J149" s="259"/>
      <c r="K149" s="259"/>
      <c r="L149" s="259"/>
      <c r="M149" s="259">
        <v>5000</v>
      </c>
      <c r="N149" s="259"/>
      <c r="O149" s="259"/>
      <c r="P149" s="259"/>
      <c r="Q149" s="259"/>
      <c r="R149" s="259"/>
      <c r="S149" s="259"/>
      <c r="T149" s="263">
        <f t="shared" si="13"/>
        <v>0</v>
      </c>
      <c r="U149" s="274"/>
      <c r="V149" s="259"/>
      <c r="W149" s="259"/>
      <c r="X149" s="259"/>
      <c r="Y149" s="259"/>
      <c r="Z149" s="259"/>
      <c r="AA149" s="259"/>
      <c r="AB149" s="259"/>
      <c r="AC149" s="259"/>
      <c r="AD149" s="259"/>
      <c r="AE149" s="311">
        <f t="shared" si="14"/>
        <v>0</v>
      </c>
      <c r="AG149" s="307">
        <f t="shared" si="0"/>
        <v>0</v>
      </c>
    </row>
    <row r="150" spans="1:33" s="270" customFormat="1" ht="13.5">
      <c r="A150" s="282"/>
      <c r="B150" s="420" t="s">
        <v>821</v>
      </c>
      <c r="C150" s="421"/>
      <c r="D150" s="421"/>
      <c r="E150" s="421"/>
      <c r="F150" s="422"/>
      <c r="G150" s="269">
        <f aca="true" t="shared" si="15" ref="G150:AF150">SUM(G118:G149)</f>
        <v>27531</v>
      </c>
      <c r="H150" s="269">
        <f t="shared" si="15"/>
        <v>3964</v>
      </c>
      <c r="I150" s="269">
        <f t="shared" si="15"/>
        <v>788735</v>
      </c>
      <c r="J150" s="269">
        <f t="shared" si="15"/>
        <v>0</v>
      </c>
      <c r="K150" s="269">
        <f t="shared" si="15"/>
        <v>28492</v>
      </c>
      <c r="L150" s="269">
        <f t="shared" si="15"/>
        <v>0</v>
      </c>
      <c r="M150" s="269">
        <f t="shared" si="15"/>
        <v>5000</v>
      </c>
      <c r="N150" s="269">
        <f t="shared" si="15"/>
        <v>0</v>
      </c>
      <c r="O150" s="269">
        <f t="shared" si="15"/>
        <v>0</v>
      </c>
      <c r="P150" s="269">
        <f t="shared" si="15"/>
        <v>0</v>
      </c>
      <c r="Q150" s="269">
        <f t="shared" si="15"/>
        <v>707232</v>
      </c>
      <c r="R150" s="269">
        <f t="shared" si="15"/>
        <v>0</v>
      </c>
      <c r="S150" s="269">
        <f t="shared" si="15"/>
        <v>0</v>
      </c>
      <c r="T150" s="269">
        <f t="shared" si="15"/>
        <v>1560954</v>
      </c>
      <c r="U150" s="269">
        <f t="shared" si="15"/>
        <v>0</v>
      </c>
      <c r="V150" s="269">
        <f t="shared" si="15"/>
        <v>447588</v>
      </c>
      <c r="W150" s="269">
        <f t="shared" si="15"/>
        <v>447526</v>
      </c>
      <c r="X150" s="269">
        <f t="shared" si="15"/>
        <v>0</v>
      </c>
      <c r="Y150" s="269">
        <f t="shared" si="15"/>
        <v>0</v>
      </c>
      <c r="Z150" s="269">
        <f t="shared" si="15"/>
        <v>0</v>
      </c>
      <c r="AA150" s="269">
        <f t="shared" si="15"/>
        <v>641010</v>
      </c>
      <c r="AB150" s="269">
        <f t="shared" si="15"/>
        <v>24830</v>
      </c>
      <c r="AC150" s="269">
        <f t="shared" si="15"/>
        <v>0</v>
      </c>
      <c r="AD150" s="269">
        <f t="shared" si="15"/>
        <v>0</v>
      </c>
      <c r="AE150" s="269">
        <f t="shared" si="15"/>
        <v>1560954</v>
      </c>
      <c r="AF150" s="269">
        <f t="shared" si="15"/>
        <v>0</v>
      </c>
      <c r="AG150" s="306">
        <f>AE150-T150</f>
        <v>0</v>
      </c>
    </row>
    <row r="151" spans="2:33" s="307" customFormat="1" ht="12.75">
      <c r="B151" s="274" t="s">
        <v>822</v>
      </c>
      <c r="C151" s="275" t="s">
        <v>823</v>
      </c>
      <c r="D151" s="275" t="s">
        <v>824</v>
      </c>
      <c r="E151" s="275" t="s">
        <v>745</v>
      </c>
      <c r="F151" s="314" t="s">
        <v>825</v>
      </c>
      <c r="G151" s="259"/>
      <c r="H151" s="259"/>
      <c r="I151" s="259">
        <v>884</v>
      </c>
      <c r="J151" s="259"/>
      <c r="K151" s="259"/>
      <c r="L151" s="259"/>
      <c r="M151" s="259"/>
      <c r="N151" s="259"/>
      <c r="O151" s="259"/>
      <c r="P151" s="259"/>
      <c r="Q151" s="259"/>
      <c r="R151" s="259"/>
      <c r="S151" s="259"/>
      <c r="T151" s="263">
        <f aca="true" t="shared" si="16" ref="T151:T245">SUM(G151:S151)</f>
        <v>884</v>
      </c>
      <c r="U151" s="274"/>
      <c r="V151" s="259"/>
      <c r="W151" s="259">
        <v>884</v>
      </c>
      <c r="X151" s="259"/>
      <c r="Y151" s="259"/>
      <c r="Z151" s="259"/>
      <c r="AA151" s="259"/>
      <c r="AB151" s="259"/>
      <c r="AC151" s="259"/>
      <c r="AD151" s="259"/>
      <c r="AE151" s="311">
        <f aca="true" t="shared" si="17" ref="AE151:AE245">SUM(U151:AD151)</f>
        <v>884</v>
      </c>
      <c r="AG151" s="307">
        <f t="shared" si="0"/>
        <v>0</v>
      </c>
    </row>
    <row r="152" spans="2:33" s="307" customFormat="1" ht="12.75">
      <c r="B152" s="274"/>
      <c r="C152" s="275"/>
      <c r="D152" s="275" t="s">
        <v>637</v>
      </c>
      <c r="E152" s="275" t="s">
        <v>745</v>
      </c>
      <c r="F152" s="301" t="s">
        <v>826</v>
      </c>
      <c r="G152" s="259"/>
      <c r="H152" s="259"/>
      <c r="I152" s="259">
        <v>316</v>
      </c>
      <c r="J152" s="259"/>
      <c r="K152" s="259"/>
      <c r="L152" s="259"/>
      <c r="M152" s="259"/>
      <c r="N152" s="259"/>
      <c r="O152" s="259"/>
      <c r="P152" s="259"/>
      <c r="Q152" s="259"/>
      <c r="R152" s="259"/>
      <c r="S152" s="259"/>
      <c r="T152" s="263">
        <f t="shared" si="16"/>
        <v>316</v>
      </c>
      <c r="U152" s="274"/>
      <c r="V152" s="259"/>
      <c r="W152" s="259">
        <v>316</v>
      </c>
      <c r="X152" s="259"/>
      <c r="Y152" s="259"/>
      <c r="Z152" s="259"/>
      <c r="AA152" s="259"/>
      <c r="AB152" s="259"/>
      <c r="AC152" s="259"/>
      <c r="AD152" s="259"/>
      <c r="AE152" s="311">
        <f t="shared" si="17"/>
        <v>316</v>
      </c>
      <c r="AG152" s="307">
        <f t="shared" si="0"/>
        <v>0</v>
      </c>
    </row>
    <row r="153" spans="2:33" s="307" customFormat="1" ht="12.75">
      <c r="B153" s="279"/>
      <c r="C153" s="275"/>
      <c r="D153" s="275" t="s">
        <v>637</v>
      </c>
      <c r="E153" s="275" t="s">
        <v>745</v>
      </c>
      <c r="F153" s="301" t="s">
        <v>826</v>
      </c>
      <c r="G153" s="259"/>
      <c r="H153" s="259"/>
      <c r="I153" s="259">
        <v>1575</v>
      </c>
      <c r="J153" s="259"/>
      <c r="K153" s="259"/>
      <c r="L153" s="259"/>
      <c r="M153" s="259"/>
      <c r="N153" s="259"/>
      <c r="O153" s="259"/>
      <c r="P153" s="259"/>
      <c r="Q153" s="259"/>
      <c r="R153" s="259"/>
      <c r="S153" s="259"/>
      <c r="T153" s="263">
        <f t="shared" si="16"/>
        <v>1575</v>
      </c>
      <c r="U153" s="274"/>
      <c r="V153" s="259"/>
      <c r="W153" s="259">
        <v>1575</v>
      </c>
      <c r="X153" s="259"/>
      <c r="Y153" s="259"/>
      <c r="Z153" s="259"/>
      <c r="AA153" s="259"/>
      <c r="AB153" s="259"/>
      <c r="AC153" s="259"/>
      <c r="AD153" s="259"/>
      <c r="AE153" s="311">
        <f t="shared" si="17"/>
        <v>1575</v>
      </c>
      <c r="AG153" s="307">
        <f t="shared" si="0"/>
        <v>0</v>
      </c>
    </row>
    <row r="154" spans="2:33" s="307" customFormat="1" ht="12.75">
      <c r="B154" s="274"/>
      <c r="C154" s="275"/>
      <c r="D154" s="275" t="s">
        <v>637</v>
      </c>
      <c r="E154" s="275" t="s">
        <v>745</v>
      </c>
      <c r="F154" s="301" t="s">
        <v>774</v>
      </c>
      <c r="G154" s="259"/>
      <c r="H154" s="259"/>
      <c r="I154" s="259">
        <v>74</v>
      </c>
      <c r="J154" s="259"/>
      <c r="K154" s="259"/>
      <c r="L154" s="259"/>
      <c r="M154" s="259"/>
      <c r="N154" s="259"/>
      <c r="O154" s="259"/>
      <c r="P154" s="259"/>
      <c r="Q154" s="259"/>
      <c r="R154" s="259"/>
      <c r="S154" s="259"/>
      <c r="T154" s="263">
        <f t="shared" si="16"/>
        <v>74</v>
      </c>
      <c r="U154" s="274"/>
      <c r="V154" s="259"/>
      <c r="W154" s="259">
        <v>74</v>
      </c>
      <c r="X154" s="259"/>
      <c r="Y154" s="259"/>
      <c r="Z154" s="259"/>
      <c r="AA154" s="259"/>
      <c r="AB154" s="259"/>
      <c r="AC154" s="259"/>
      <c r="AD154" s="259"/>
      <c r="AE154" s="311">
        <f t="shared" si="17"/>
        <v>74</v>
      </c>
      <c r="AG154" s="307">
        <f t="shared" si="0"/>
        <v>0</v>
      </c>
    </row>
    <row r="155" spans="2:33" s="307" customFormat="1" ht="12.75">
      <c r="B155" s="274"/>
      <c r="C155" s="275"/>
      <c r="D155" s="275" t="s">
        <v>674</v>
      </c>
      <c r="E155" s="275" t="s">
        <v>745</v>
      </c>
      <c r="F155" s="284" t="s">
        <v>827</v>
      </c>
      <c r="G155" s="259"/>
      <c r="H155" s="259"/>
      <c r="I155" s="259">
        <v>33140</v>
      </c>
      <c r="J155" s="259"/>
      <c r="K155" s="259"/>
      <c r="L155" s="259"/>
      <c r="M155" s="259"/>
      <c r="N155" s="259"/>
      <c r="O155" s="259"/>
      <c r="P155" s="259"/>
      <c r="Q155" s="259"/>
      <c r="R155" s="259"/>
      <c r="S155" s="259"/>
      <c r="T155" s="263">
        <f t="shared" si="16"/>
        <v>33140</v>
      </c>
      <c r="U155" s="259"/>
      <c r="V155" s="259"/>
      <c r="W155" s="259">
        <v>33140</v>
      </c>
      <c r="X155" s="259"/>
      <c r="Y155" s="259"/>
      <c r="Z155" s="259"/>
      <c r="AA155" s="259"/>
      <c r="AB155" s="259"/>
      <c r="AC155" s="259"/>
      <c r="AD155" s="259"/>
      <c r="AE155" s="311">
        <f t="shared" si="17"/>
        <v>33140</v>
      </c>
      <c r="AG155" s="307">
        <f t="shared" si="0"/>
        <v>0</v>
      </c>
    </row>
    <row r="156" spans="2:33" s="307" customFormat="1" ht="12.75">
      <c r="B156" s="274"/>
      <c r="C156" s="275"/>
      <c r="D156" s="275" t="s">
        <v>674</v>
      </c>
      <c r="E156" s="275" t="s">
        <v>745</v>
      </c>
      <c r="F156" s="284" t="s">
        <v>827</v>
      </c>
      <c r="G156" s="259"/>
      <c r="H156" s="259"/>
      <c r="I156" s="259">
        <v>39000</v>
      </c>
      <c r="J156" s="259"/>
      <c r="K156" s="259"/>
      <c r="L156" s="259"/>
      <c r="M156" s="259"/>
      <c r="N156" s="259"/>
      <c r="O156" s="259"/>
      <c r="P156" s="259"/>
      <c r="Q156" s="259"/>
      <c r="R156" s="259"/>
      <c r="S156" s="259"/>
      <c r="T156" s="263">
        <f t="shared" si="16"/>
        <v>39000</v>
      </c>
      <c r="U156" s="274"/>
      <c r="V156" s="259"/>
      <c r="W156" s="259">
        <v>39000</v>
      </c>
      <c r="X156" s="259"/>
      <c r="Y156" s="259"/>
      <c r="Z156" s="259"/>
      <c r="AA156" s="259"/>
      <c r="AB156" s="259"/>
      <c r="AC156" s="259"/>
      <c r="AD156" s="259"/>
      <c r="AE156" s="311">
        <f t="shared" si="17"/>
        <v>39000</v>
      </c>
      <c r="AG156" s="307">
        <f t="shared" si="0"/>
        <v>0</v>
      </c>
    </row>
    <row r="157" spans="2:33" s="307" customFormat="1" ht="12.75">
      <c r="B157" s="274"/>
      <c r="C157" s="275"/>
      <c r="D157" s="275" t="s">
        <v>635</v>
      </c>
      <c r="E157" s="275" t="s">
        <v>745</v>
      </c>
      <c r="F157" s="301" t="s">
        <v>828</v>
      </c>
      <c r="G157" s="259"/>
      <c r="H157" s="259"/>
      <c r="I157" s="259">
        <v>14667</v>
      </c>
      <c r="J157" s="259"/>
      <c r="K157" s="259"/>
      <c r="L157" s="259"/>
      <c r="M157" s="259"/>
      <c r="N157" s="259"/>
      <c r="O157" s="259"/>
      <c r="P157" s="259"/>
      <c r="Q157" s="259"/>
      <c r="R157" s="259"/>
      <c r="S157" s="259"/>
      <c r="T157" s="263">
        <f t="shared" si="16"/>
        <v>14667</v>
      </c>
      <c r="U157" s="274"/>
      <c r="V157" s="259"/>
      <c r="W157" s="259">
        <v>14667</v>
      </c>
      <c r="X157" s="259"/>
      <c r="Y157" s="259"/>
      <c r="Z157" s="259"/>
      <c r="AA157" s="259"/>
      <c r="AB157" s="259"/>
      <c r="AC157" s="259"/>
      <c r="AD157" s="259"/>
      <c r="AE157" s="311">
        <f t="shared" si="17"/>
        <v>14667</v>
      </c>
      <c r="AG157" s="307">
        <f t="shared" si="0"/>
        <v>0</v>
      </c>
    </row>
    <row r="158" spans="2:33" s="307" customFormat="1" ht="12.75">
      <c r="B158" s="274"/>
      <c r="C158" s="275"/>
      <c r="D158" s="280" t="s">
        <v>711</v>
      </c>
      <c r="E158" s="276">
        <v>5</v>
      </c>
      <c r="F158" s="277" t="s">
        <v>712</v>
      </c>
      <c r="G158" s="259"/>
      <c r="H158" s="259"/>
      <c r="I158" s="259"/>
      <c r="J158" s="259"/>
      <c r="K158" s="259"/>
      <c r="L158" s="259"/>
      <c r="M158" s="259"/>
      <c r="N158" s="259"/>
      <c r="O158" s="259"/>
      <c r="P158" s="259"/>
      <c r="Q158" s="259"/>
      <c r="R158" s="259"/>
      <c r="S158" s="259"/>
      <c r="T158" s="263">
        <f t="shared" si="16"/>
        <v>0</v>
      </c>
      <c r="U158" s="274"/>
      <c r="V158" s="259">
        <v>808</v>
      </c>
      <c r="W158" s="259">
        <v>-808</v>
      </c>
      <c r="X158" s="259"/>
      <c r="Y158" s="259"/>
      <c r="Z158" s="259"/>
      <c r="AA158" s="259"/>
      <c r="AB158" s="259"/>
      <c r="AC158" s="259"/>
      <c r="AD158" s="259"/>
      <c r="AE158" s="311">
        <f t="shared" si="17"/>
        <v>0</v>
      </c>
      <c r="AG158" s="307">
        <f t="shared" si="0"/>
        <v>0</v>
      </c>
    </row>
    <row r="159" spans="2:33" s="307" customFormat="1" ht="12.75">
      <c r="B159" s="274"/>
      <c r="C159" s="275"/>
      <c r="D159" s="280" t="s">
        <v>711</v>
      </c>
      <c r="E159" s="276">
        <v>5</v>
      </c>
      <c r="F159" s="277" t="s">
        <v>712</v>
      </c>
      <c r="G159" s="259"/>
      <c r="H159" s="259"/>
      <c r="I159" s="259">
        <v>138</v>
      </c>
      <c r="J159" s="259"/>
      <c r="K159" s="259"/>
      <c r="L159" s="259"/>
      <c r="M159" s="259"/>
      <c r="N159" s="259"/>
      <c r="O159" s="259"/>
      <c r="P159" s="259"/>
      <c r="Q159" s="259"/>
      <c r="R159" s="259"/>
      <c r="S159" s="259"/>
      <c r="T159" s="263">
        <f t="shared" si="16"/>
        <v>138</v>
      </c>
      <c r="U159" s="274"/>
      <c r="V159" s="259">
        <v>62</v>
      </c>
      <c r="W159" s="259">
        <v>76</v>
      </c>
      <c r="X159" s="259"/>
      <c r="Y159" s="259"/>
      <c r="Z159" s="259"/>
      <c r="AA159" s="259"/>
      <c r="AB159" s="259"/>
      <c r="AC159" s="259"/>
      <c r="AD159" s="259"/>
      <c r="AE159" s="311">
        <f t="shared" si="17"/>
        <v>138</v>
      </c>
      <c r="AG159" s="307">
        <f t="shared" si="0"/>
        <v>0</v>
      </c>
    </row>
    <row r="160" spans="2:33" s="307" customFormat="1" ht="12.75">
      <c r="B160" s="274"/>
      <c r="C160" s="275"/>
      <c r="D160" s="285">
        <v>4007</v>
      </c>
      <c r="E160" s="276">
        <v>5</v>
      </c>
      <c r="F160" s="287" t="s">
        <v>795</v>
      </c>
      <c r="G160" s="259"/>
      <c r="H160" s="259"/>
      <c r="I160" s="259">
        <v>2785</v>
      </c>
      <c r="J160" s="259"/>
      <c r="K160" s="259"/>
      <c r="L160" s="259"/>
      <c r="M160" s="259">
        <v>313</v>
      </c>
      <c r="N160" s="259"/>
      <c r="O160" s="259"/>
      <c r="P160" s="259"/>
      <c r="Q160" s="259"/>
      <c r="R160" s="259"/>
      <c r="S160" s="259"/>
      <c r="T160" s="263">
        <f t="shared" si="16"/>
        <v>3098</v>
      </c>
      <c r="U160" s="274"/>
      <c r="V160" s="259"/>
      <c r="W160" s="259">
        <v>3098</v>
      </c>
      <c r="X160" s="259"/>
      <c r="Y160" s="259"/>
      <c r="Z160" s="259"/>
      <c r="AA160" s="259"/>
      <c r="AB160" s="259"/>
      <c r="AC160" s="259"/>
      <c r="AD160" s="259"/>
      <c r="AE160" s="311">
        <f t="shared" si="17"/>
        <v>3098</v>
      </c>
      <c r="AG160" s="307">
        <f t="shared" si="0"/>
        <v>0</v>
      </c>
    </row>
    <row r="161" spans="2:33" s="307" customFormat="1" ht="12.75">
      <c r="B161" s="279"/>
      <c r="C161" s="275"/>
      <c r="D161" s="290">
        <v>2030</v>
      </c>
      <c r="E161" s="276">
        <v>5</v>
      </c>
      <c r="F161" s="291" t="s">
        <v>707</v>
      </c>
      <c r="G161" s="259"/>
      <c r="H161" s="259"/>
      <c r="I161" s="259"/>
      <c r="J161" s="259"/>
      <c r="K161" s="259"/>
      <c r="L161" s="259"/>
      <c r="M161" s="259"/>
      <c r="N161" s="259"/>
      <c r="O161" s="259"/>
      <c r="P161" s="259"/>
      <c r="Q161" s="259">
        <v>8743</v>
      </c>
      <c r="R161" s="259"/>
      <c r="S161" s="259"/>
      <c r="T161" s="263">
        <f t="shared" si="16"/>
        <v>8743</v>
      </c>
      <c r="U161" s="274"/>
      <c r="V161" s="259"/>
      <c r="W161" s="259"/>
      <c r="X161" s="259"/>
      <c r="Y161" s="259"/>
      <c r="Z161" s="259"/>
      <c r="AA161" s="259">
        <v>8743</v>
      </c>
      <c r="AB161" s="259"/>
      <c r="AC161" s="259"/>
      <c r="AD161" s="259"/>
      <c r="AE161" s="311">
        <f t="shared" si="17"/>
        <v>8743</v>
      </c>
      <c r="AG161" s="307">
        <f t="shared" si="0"/>
        <v>0</v>
      </c>
    </row>
    <row r="162" spans="2:33" s="307" customFormat="1" ht="12.75">
      <c r="B162" s="274"/>
      <c r="C162" s="275"/>
      <c r="D162" s="275" t="s">
        <v>618</v>
      </c>
      <c r="E162" s="275" t="s">
        <v>745</v>
      </c>
      <c r="F162" s="284" t="s">
        <v>829</v>
      </c>
      <c r="G162" s="259"/>
      <c r="H162" s="259"/>
      <c r="I162" s="259">
        <v>7082</v>
      </c>
      <c r="J162" s="259"/>
      <c r="K162" s="259"/>
      <c r="L162" s="259"/>
      <c r="M162" s="259"/>
      <c r="N162" s="259"/>
      <c r="O162" s="259"/>
      <c r="P162" s="259"/>
      <c r="Q162" s="259"/>
      <c r="R162" s="259"/>
      <c r="S162" s="259"/>
      <c r="T162" s="263">
        <f t="shared" si="16"/>
        <v>7082</v>
      </c>
      <c r="U162" s="274"/>
      <c r="V162" s="259"/>
      <c r="W162" s="259">
        <v>7082</v>
      </c>
      <c r="X162" s="259"/>
      <c r="Y162" s="259"/>
      <c r="Z162" s="259"/>
      <c r="AA162" s="259"/>
      <c r="AB162" s="259"/>
      <c r="AC162" s="259"/>
      <c r="AD162" s="259"/>
      <c r="AE162" s="311">
        <f t="shared" si="17"/>
        <v>7082</v>
      </c>
      <c r="AG162" s="307">
        <f t="shared" si="0"/>
        <v>0</v>
      </c>
    </row>
    <row r="163" spans="2:33" s="307" customFormat="1" ht="12.75">
      <c r="B163" s="274"/>
      <c r="C163" s="275"/>
      <c r="D163" s="275" t="s">
        <v>830</v>
      </c>
      <c r="E163" s="275" t="s">
        <v>745</v>
      </c>
      <c r="F163" s="274" t="s">
        <v>831</v>
      </c>
      <c r="G163" s="259"/>
      <c r="H163" s="259"/>
      <c r="I163" s="259">
        <v>1879</v>
      </c>
      <c r="J163" s="259"/>
      <c r="K163" s="259"/>
      <c r="L163" s="259"/>
      <c r="M163" s="259"/>
      <c r="N163" s="259"/>
      <c r="O163" s="259"/>
      <c r="P163" s="259"/>
      <c r="Q163" s="259"/>
      <c r="R163" s="259"/>
      <c r="S163" s="259"/>
      <c r="T163" s="263">
        <f t="shared" si="16"/>
        <v>1879</v>
      </c>
      <c r="U163" s="274"/>
      <c r="V163" s="259"/>
      <c r="W163" s="259">
        <v>1879</v>
      </c>
      <c r="X163" s="259"/>
      <c r="Y163" s="259"/>
      <c r="Z163" s="259"/>
      <c r="AA163" s="259"/>
      <c r="AB163" s="259"/>
      <c r="AC163" s="259"/>
      <c r="AD163" s="259"/>
      <c r="AE163" s="311">
        <f t="shared" si="17"/>
        <v>1879</v>
      </c>
      <c r="AG163" s="307">
        <f t="shared" si="0"/>
        <v>0</v>
      </c>
    </row>
    <row r="164" spans="2:33" s="307" customFormat="1" ht="12.75">
      <c r="B164" s="274"/>
      <c r="C164" s="275"/>
      <c r="D164" s="275" t="s">
        <v>750</v>
      </c>
      <c r="E164" s="275" t="s">
        <v>745</v>
      </c>
      <c r="F164" s="302" t="s">
        <v>832</v>
      </c>
      <c r="G164" s="259">
        <v>864</v>
      </c>
      <c r="H164" s="259">
        <v>169</v>
      </c>
      <c r="I164" s="259">
        <v>7514</v>
      </c>
      <c r="J164" s="259"/>
      <c r="K164" s="259">
        <v>77345</v>
      </c>
      <c r="L164" s="259"/>
      <c r="M164" s="259"/>
      <c r="N164" s="259"/>
      <c r="O164" s="259"/>
      <c r="P164" s="259"/>
      <c r="Q164" s="259"/>
      <c r="R164" s="259"/>
      <c r="S164" s="259"/>
      <c r="T164" s="263">
        <f t="shared" si="16"/>
        <v>85892</v>
      </c>
      <c r="U164" s="274"/>
      <c r="V164" s="259">
        <v>42946</v>
      </c>
      <c r="W164" s="259">
        <v>42946</v>
      </c>
      <c r="X164" s="259"/>
      <c r="Y164" s="259"/>
      <c r="Z164" s="259"/>
      <c r="AA164" s="259"/>
      <c r="AB164" s="259"/>
      <c r="AC164" s="259"/>
      <c r="AD164" s="259"/>
      <c r="AE164" s="311">
        <f t="shared" si="17"/>
        <v>85892</v>
      </c>
      <c r="AG164" s="307">
        <f t="shared" si="0"/>
        <v>0</v>
      </c>
    </row>
    <row r="165" spans="2:33" s="307" customFormat="1" ht="12.75">
      <c r="B165" s="274"/>
      <c r="C165" s="275"/>
      <c r="D165" s="275" t="s">
        <v>833</v>
      </c>
      <c r="E165" s="275" t="s">
        <v>745</v>
      </c>
      <c r="F165" s="302" t="s">
        <v>834</v>
      </c>
      <c r="G165" s="259"/>
      <c r="H165" s="259"/>
      <c r="I165" s="259">
        <v>826</v>
      </c>
      <c r="J165" s="259"/>
      <c r="K165" s="259"/>
      <c r="L165" s="259"/>
      <c r="M165" s="259"/>
      <c r="N165" s="259"/>
      <c r="O165" s="259"/>
      <c r="P165" s="259"/>
      <c r="Q165" s="259"/>
      <c r="R165" s="259"/>
      <c r="S165" s="259"/>
      <c r="T165" s="263">
        <f t="shared" si="16"/>
        <v>826</v>
      </c>
      <c r="U165" s="274"/>
      <c r="V165" s="259">
        <v>826</v>
      </c>
      <c r="W165" s="259"/>
      <c r="X165" s="259"/>
      <c r="Y165" s="259"/>
      <c r="Z165" s="259"/>
      <c r="AA165" s="259"/>
      <c r="AB165" s="259"/>
      <c r="AC165" s="259"/>
      <c r="AD165" s="259"/>
      <c r="AE165" s="311">
        <f t="shared" si="17"/>
        <v>826</v>
      </c>
      <c r="AG165" s="307">
        <f t="shared" si="0"/>
        <v>0</v>
      </c>
    </row>
    <row r="166" spans="2:33" s="307" customFormat="1" ht="12.75">
      <c r="B166" s="274"/>
      <c r="C166" s="275"/>
      <c r="D166" s="275" t="s">
        <v>835</v>
      </c>
      <c r="E166" s="275" t="s">
        <v>745</v>
      </c>
      <c r="F166" s="302" t="s">
        <v>836</v>
      </c>
      <c r="G166" s="259">
        <v>7090</v>
      </c>
      <c r="H166" s="259">
        <v>1910</v>
      </c>
      <c r="I166" s="259">
        <v>10500</v>
      </c>
      <c r="J166" s="259"/>
      <c r="K166" s="259"/>
      <c r="L166" s="259"/>
      <c r="M166" s="259"/>
      <c r="N166" s="259"/>
      <c r="O166" s="259"/>
      <c r="P166" s="259"/>
      <c r="Q166" s="259">
        <v>500</v>
      </c>
      <c r="R166" s="259"/>
      <c r="S166" s="259"/>
      <c r="T166" s="263">
        <f t="shared" si="16"/>
        <v>20000</v>
      </c>
      <c r="U166" s="274"/>
      <c r="V166" s="259"/>
      <c r="W166" s="278">
        <v>20000</v>
      </c>
      <c r="X166" s="259"/>
      <c r="Y166" s="259"/>
      <c r="Z166" s="259"/>
      <c r="AA166" s="259"/>
      <c r="AB166" s="259"/>
      <c r="AC166" s="259"/>
      <c r="AD166" s="259"/>
      <c r="AE166" s="311">
        <f t="shared" si="17"/>
        <v>20000</v>
      </c>
      <c r="AG166" s="307">
        <f t="shared" si="0"/>
        <v>0</v>
      </c>
    </row>
    <row r="167" spans="2:33" s="307" customFormat="1" ht="12.75">
      <c r="B167" s="274"/>
      <c r="C167" s="275"/>
      <c r="D167" s="275"/>
      <c r="E167" s="275" t="s">
        <v>745</v>
      </c>
      <c r="F167" s="302" t="s">
        <v>837</v>
      </c>
      <c r="G167" s="259"/>
      <c r="H167" s="259"/>
      <c r="I167" s="259">
        <v>-143</v>
      </c>
      <c r="J167" s="259"/>
      <c r="K167" s="259">
        <v>143</v>
      </c>
      <c r="L167" s="259"/>
      <c r="M167" s="259"/>
      <c r="N167" s="259"/>
      <c r="O167" s="259"/>
      <c r="P167" s="259"/>
      <c r="Q167" s="259"/>
      <c r="R167" s="259"/>
      <c r="S167" s="259"/>
      <c r="T167" s="263">
        <f t="shared" si="16"/>
        <v>0</v>
      </c>
      <c r="U167" s="274"/>
      <c r="V167" s="259"/>
      <c r="W167" s="259"/>
      <c r="X167" s="259"/>
      <c r="Y167" s="259"/>
      <c r="Z167" s="259"/>
      <c r="AA167" s="259"/>
      <c r="AB167" s="259"/>
      <c r="AC167" s="259"/>
      <c r="AD167" s="259"/>
      <c r="AE167" s="311">
        <f t="shared" si="17"/>
        <v>0</v>
      </c>
      <c r="AG167" s="307">
        <f t="shared" si="0"/>
        <v>0</v>
      </c>
    </row>
    <row r="168" spans="2:34" s="307" customFormat="1" ht="12.75">
      <c r="B168" s="274"/>
      <c r="C168" s="275"/>
      <c r="D168" s="275"/>
      <c r="E168" s="275" t="s">
        <v>745</v>
      </c>
      <c r="F168" s="302" t="s">
        <v>838</v>
      </c>
      <c r="G168" s="259"/>
      <c r="H168" s="259"/>
      <c r="I168" s="259">
        <v>-109</v>
      </c>
      <c r="J168" s="259"/>
      <c r="K168" s="259">
        <v>109</v>
      </c>
      <c r="L168" s="259"/>
      <c r="M168" s="259"/>
      <c r="N168" s="259"/>
      <c r="O168" s="259"/>
      <c r="P168" s="259"/>
      <c r="Q168" s="259"/>
      <c r="R168" s="259"/>
      <c r="S168" s="259"/>
      <c r="T168" s="263">
        <f t="shared" si="16"/>
        <v>0</v>
      </c>
      <c r="U168" s="274"/>
      <c r="V168" s="259"/>
      <c r="W168" s="259"/>
      <c r="X168" s="259"/>
      <c r="Y168" s="259"/>
      <c r="Z168" s="259"/>
      <c r="AA168" s="259"/>
      <c r="AB168" s="259"/>
      <c r="AC168" s="259"/>
      <c r="AD168" s="259"/>
      <c r="AE168" s="311">
        <f t="shared" si="17"/>
        <v>0</v>
      </c>
      <c r="AG168" s="307">
        <f t="shared" si="0"/>
        <v>0</v>
      </c>
      <c r="AH168" s="307">
        <f>SUM(AE151:AE168)</f>
        <v>217314</v>
      </c>
    </row>
    <row r="169" spans="2:33" s="307" customFormat="1" ht="12.75">
      <c r="B169" s="274" t="s">
        <v>839</v>
      </c>
      <c r="C169" s="275" t="s">
        <v>840</v>
      </c>
      <c r="D169" s="275"/>
      <c r="E169" s="275" t="s">
        <v>841</v>
      </c>
      <c r="F169" s="302" t="s">
        <v>842</v>
      </c>
      <c r="G169" s="259"/>
      <c r="H169" s="259">
        <v>-438569</v>
      </c>
      <c r="I169" s="259">
        <v>438569</v>
      </c>
      <c r="J169" s="259"/>
      <c r="K169" s="259"/>
      <c r="L169" s="259"/>
      <c r="M169" s="259"/>
      <c r="N169" s="259"/>
      <c r="O169" s="259"/>
      <c r="P169" s="259"/>
      <c r="Q169" s="259"/>
      <c r="R169" s="259"/>
      <c r="S169" s="259"/>
      <c r="T169" s="263">
        <f t="shared" si="16"/>
        <v>0</v>
      </c>
      <c r="U169" s="274"/>
      <c r="V169" s="259"/>
      <c r="W169" s="259"/>
      <c r="X169" s="259"/>
      <c r="Y169" s="259"/>
      <c r="Z169" s="259"/>
      <c r="AA169" s="259"/>
      <c r="AB169" s="259"/>
      <c r="AC169" s="259"/>
      <c r="AD169" s="259"/>
      <c r="AE169" s="311">
        <f t="shared" si="17"/>
        <v>0</v>
      </c>
      <c r="AG169" s="307">
        <f t="shared" si="0"/>
        <v>0</v>
      </c>
    </row>
    <row r="170" spans="2:33" s="307" customFormat="1" ht="12.75">
      <c r="B170" s="274"/>
      <c r="C170" s="275"/>
      <c r="D170" s="275" t="s">
        <v>750</v>
      </c>
      <c r="E170" s="275" t="s">
        <v>745</v>
      </c>
      <c r="F170" s="302" t="s">
        <v>832</v>
      </c>
      <c r="G170" s="259"/>
      <c r="H170" s="259"/>
      <c r="I170" s="259">
        <v>1365</v>
      </c>
      <c r="J170" s="259"/>
      <c r="K170" s="259">
        <v>-1365</v>
      </c>
      <c r="L170" s="259"/>
      <c r="M170" s="259"/>
      <c r="N170" s="259"/>
      <c r="O170" s="259"/>
      <c r="P170" s="259"/>
      <c r="Q170" s="259"/>
      <c r="R170" s="259"/>
      <c r="S170" s="259"/>
      <c r="T170" s="263">
        <f t="shared" si="16"/>
        <v>0</v>
      </c>
      <c r="U170" s="274"/>
      <c r="V170" s="259"/>
      <c r="W170" s="259"/>
      <c r="X170" s="259"/>
      <c r="Y170" s="259"/>
      <c r="Z170" s="259"/>
      <c r="AA170" s="259"/>
      <c r="AB170" s="259"/>
      <c r="AC170" s="259"/>
      <c r="AD170" s="259"/>
      <c r="AE170" s="311">
        <f t="shared" si="17"/>
        <v>0</v>
      </c>
      <c r="AG170" s="307">
        <f t="shared" si="0"/>
        <v>0</v>
      </c>
    </row>
    <row r="171" spans="2:33" s="307" customFormat="1" ht="12.75">
      <c r="B171" s="274" t="s">
        <v>843</v>
      </c>
      <c r="C171" s="275" t="s">
        <v>840</v>
      </c>
      <c r="D171" s="275"/>
      <c r="E171" s="275" t="s">
        <v>745</v>
      </c>
      <c r="F171" s="302" t="s">
        <v>844</v>
      </c>
      <c r="G171" s="259"/>
      <c r="H171" s="259"/>
      <c r="I171" s="259">
        <v>841591</v>
      </c>
      <c r="J171" s="259"/>
      <c r="K171" s="259"/>
      <c r="L171" s="259"/>
      <c r="M171" s="259"/>
      <c r="N171" s="259"/>
      <c r="O171" s="259"/>
      <c r="P171" s="259"/>
      <c r="Q171" s="259"/>
      <c r="R171" s="259"/>
      <c r="S171" s="259"/>
      <c r="T171" s="263">
        <f t="shared" si="16"/>
        <v>841591</v>
      </c>
      <c r="U171" s="274"/>
      <c r="V171" s="259"/>
      <c r="W171" s="259">
        <v>841591</v>
      </c>
      <c r="X171" s="259"/>
      <c r="Y171" s="259"/>
      <c r="Z171" s="259"/>
      <c r="AA171" s="259"/>
      <c r="AB171" s="259"/>
      <c r="AC171" s="259"/>
      <c r="AD171" s="259"/>
      <c r="AE171" s="311">
        <f t="shared" si="17"/>
        <v>841591</v>
      </c>
      <c r="AG171" s="307">
        <f t="shared" si="0"/>
        <v>0</v>
      </c>
    </row>
    <row r="172" spans="2:33" s="307" customFormat="1" ht="12.75">
      <c r="B172" s="274"/>
      <c r="C172" s="275"/>
      <c r="D172" s="285">
        <v>4007</v>
      </c>
      <c r="E172" s="276">
        <v>5</v>
      </c>
      <c r="F172" s="287" t="s">
        <v>845</v>
      </c>
      <c r="G172" s="259"/>
      <c r="H172" s="259"/>
      <c r="I172" s="259">
        <v>11079</v>
      </c>
      <c r="J172" s="259"/>
      <c r="K172" s="259"/>
      <c r="L172" s="259"/>
      <c r="M172" s="259"/>
      <c r="N172" s="259"/>
      <c r="O172" s="259"/>
      <c r="P172" s="259"/>
      <c r="Q172" s="259"/>
      <c r="R172" s="259"/>
      <c r="S172" s="259"/>
      <c r="T172" s="263">
        <f t="shared" si="16"/>
        <v>11079</v>
      </c>
      <c r="U172" s="274"/>
      <c r="V172" s="259"/>
      <c r="W172" s="259">
        <v>11079</v>
      </c>
      <c r="X172" s="259"/>
      <c r="Y172" s="259"/>
      <c r="Z172" s="259"/>
      <c r="AA172" s="259"/>
      <c r="AB172" s="259"/>
      <c r="AC172" s="259"/>
      <c r="AD172" s="259"/>
      <c r="AE172" s="311">
        <f t="shared" si="17"/>
        <v>11079</v>
      </c>
      <c r="AG172" s="307">
        <f t="shared" si="0"/>
        <v>0</v>
      </c>
    </row>
    <row r="173" spans="2:34" s="307" customFormat="1" ht="12.75">
      <c r="B173" s="274"/>
      <c r="C173" s="275"/>
      <c r="D173" s="275" t="s">
        <v>618</v>
      </c>
      <c r="E173" s="275" t="s">
        <v>745</v>
      </c>
      <c r="F173" s="284" t="s">
        <v>829</v>
      </c>
      <c r="G173" s="259"/>
      <c r="H173" s="259"/>
      <c r="I173" s="259">
        <v>67927</v>
      </c>
      <c r="J173" s="259"/>
      <c r="K173" s="259"/>
      <c r="L173" s="259"/>
      <c r="M173" s="259"/>
      <c r="N173" s="259"/>
      <c r="O173" s="259"/>
      <c r="P173" s="259"/>
      <c r="Q173" s="259"/>
      <c r="R173" s="259"/>
      <c r="S173" s="259"/>
      <c r="T173" s="263">
        <f t="shared" si="16"/>
        <v>67927</v>
      </c>
      <c r="U173" s="274"/>
      <c r="V173" s="259"/>
      <c r="W173" s="259">
        <v>67927</v>
      </c>
      <c r="X173" s="259"/>
      <c r="Y173" s="259"/>
      <c r="Z173" s="259"/>
      <c r="AA173" s="259"/>
      <c r="AB173" s="259"/>
      <c r="AC173" s="259"/>
      <c r="AD173" s="259"/>
      <c r="AE173" s="311">
        <f t="shared" si="17"/>
        <v>67927</v>
      </c>
      <c r="AG173" s="307">
        <f t="shared" si="0"/>
        <v>0</v>
      </c>
      <c r="AH173" s="307">
        <f>SUM(AE171:AE173)</f>
        <v>920597</v>
      </c>
    </row>
    <row r="174" spans="1:33" s="270" customFormat="1" ht="13.5">
      <c r="A174" s="282"/>
      <c r="B174" s="420" t="s">
        <v>846</v>
      </c>
      <c r="C174" s="421"/>
      <c r="D174" s="421"/>
      <c r="E174" s="421"/>
      <c r="F174" s="422"/>
      <c r="G174" s="269">
        <f aca="true" t="shared" si="18" ref="G174:AE174">SUM(G151:G173)</f>
        <v>7954</v>
      </c>
      <c r="H174" s="269">
        <f t="shared" si="18"/>
        <v>-436490</v>
      </c>
      <c r="I174" s="269">
        <f t="shared" si="18"/>
        <v>1480659</v>
      </c>
      <c r="J174" s="269">
        <f t="shared" si="18"/>
        <v>0</v>
      </c>
      <c r="K174" s="269">
        <f t="shared" si="18"/>
        <v>76232</v>
      </c>
      <c r="L174" s="269">
        <f t="shared" si="18"/>
        <v>0</v>
      </c>
      <c r="M174" s="269">
        <f t="shared" si="18"/>
        <v>313</v>
      </c>
      <c r="N174" s="269">
        <f t="shared" si="18"/>
        <v>0</v>
      </c>
      <c r="O174" s="269">
        <f t="shared" si="18"/>
        <v>0</v>
      </c>
      <c r="P174" s="269">
        <f t="shared" si="18"/>
        <v>0</v>
      </c>
      <c r="Q174" s="269">
        <f t="shared" si="18"/>
        <v>9243</v>
      </c>
      <c r="R174" s="269">
        <f t="shared" si="18"/>
        <v>0</v>
      </c>
      <c r="S174" s="269">
        <f t="shared" si="18"/>
        <v>0</v>
      </c>
      <c r="T174" s="269">
        <f t="shared" si="18"/>
        <v>1137911</v>
      </c>
      <c r="U174" s="269">
        <f t="shared" si="18"/>
        <v>0</v>
      </c>
      <c r="V174" s="269">
        <f t="shared" si="18"/>
        <v>44642</v>
      </c>
      <c r="W174" s="269">
        <f t="shared" si="18"/>
        <v>1084526</v>
      </c>
      <c r="X174" s="269">
        <f t="shared" si="18"/>
        <v>0</v>
      </c>
      <c r="Y174" s="269">
        <f t="shared" si="18"/>
        <v>0</v>
      </c>
      <c r="Z174" s="269">
        <f t="shared" si="18"/>
        <v>0</v>
      </c>
      <c r="AA174" s="269">
        <f t="shared" si="18"/>
        <v>8743</v>
      </c>
      <c r="AB174" s="269">
        <f t="shared" si="18"/>
        <v>0</v>
      </c>
      <c r="AC174" s="269">
        <f t="shared" si="18"/>
        <v>0</v>
      </c>
      <c r="AD174" s="269">
        <f t="shared" si="18"/>
        <v>0</v>
      </c>
      <c r="AE174" s="269">
        <f t="shared" si="18"/>
        <v>1137911</v>
      </c>
      <c r="AF174" s="269">
        <f>SUM(AF158:AF173)</f>
        <v>0</v>
      </c>
      <c r="AG174" s="306">
        <f>AE174-T174</f>
        <v>0</v>
      </c>
    </row>
    <row r="175" spans="2:33" s="307" customFormat="1" ht="12.75">
      <c r="B175" s="274" t="s">
        <v>847</v>
      </c>
      <c r="C175" s="275" t="s">
        <v>848</v>
      </c>
      <c r="D175" s="275"/>
      <c r="E175" s="275" t="s">
        <v>585</v>
      </c>
      <c r="F175" s="277" t="s">
        <v>849</v>
      </c>
      <c r="G175" s="259">
        <v>-12600</v>
      </c>
      <c r="H175" s="259">
        <v>-3400</v>
      </c>
      <c r="I175" s="259">
        <v>-2525</v>
      </c>
      <c r="J175" s="259"/>
      <c r="K175" s="259"/>
      <c r="L175" s="259"/>
      <c r="M175" s="259"/>
      <c r="N175" s="259"/>
      <c r="O175" s="259"/>
      <c r="P175" s="259"/>
      <c r="Q175" s="259"/>
      <c r="R175" s="259"/>
      <c r="S175" s="259"/>
      <c r="T175" s="263">
        <f t="shared" si="16"/>
        <v>-18525</v>
      </c>
      <c r="U175" s="274"/>
      <c r="V175" s="259"/>
      <c r="W175" s="259"/>
      <c r="X175" s="259"/>
      <c r="Y175" s="259"/>
      <c r="Z175" s="259"/>
      <c r="AA175" s="259"/>
      <c r="AB175" s="259">
        <v>-18525</v>
      </c>
      <c r="AC175" s="259"/>
      <c r="AD175" s="259"/>
      <c r="AE175" s="311">
        <f t="shared" si="17"/>
        <v>-18525</v>
      </c>
      <c r="AG175" s="307">
        <f t="shared" si="0"/>
        <v>0</v>
      </c>
    </row>
    <row r="176" spans="2:33" s="307" customFormat="1" ht="12.75">
      <c r="B176" s="274" t="s">
        <v>850</v>
      </c>
      <c r="C176" s="275" t="s">
        <v>851</v>
      </c>
      <c r="D176" s="275" t="s">
        <v>852</v>
      </c>
      <c r="E176" s="275" t="s">
        <v>745</v>
      </c>
      <c r="F176" s="302" t="s">
        <v>634</v>
      </c>
      <c r="G176" s="259">
        <v>100000</v>
      </c>
      <c r="H176" s="259">
        <v>9000</v>
      </c>
      <c r="I176" s="259">
        <v>169429</v>
      </c>
      <c r="J176" s="259"/>
      <c r="K176" s="259"/>
      <c r="L176" s="259"/>
      <c r="M176" s="259"/>
      <c r="N176" s="259"/>
      <c r="O176" s="259"/>
      <c r="P176" s="259"/>
      <c r="Q176" s="259">
        <v>33925</v>
      </c>
      <c r="R176" s="259"/>
      <c r="S176" s="259"/>
      <c r="T176" s="263">
        <f t="shared" si="16"/>
        <v>312354</v>
      </c>
      <c r="U176" s="274"/>
      <c r="V176" s="259"/>
      <c r="W176" s="278">
        <v>312354</v>
      </c>
      <c r="X176" s="259"/>
      <c r="Y176" s="259"/>
      <c r="Z176" s="259"/>
      <c r="AA176" s="259"/>
      <c r="AB176" s="259"/>
      <c r="AC176" s="259"/>
      <c r="AD176" s="259"/>
      <c r="AE176" s="311">
        <f t="shared" si="17"/>
        <v>312354</v>
      </c>
      <c r="AG176" s="307">
        <f t="shared" si="0"/>
        <v>0</v>
      </c>
    </row>
    <row r="177" spans="2:33" s="307" customFormat="1" ht="12.75">
      <c r="B177" s="279"/>
      <c r="C177" s="275"/>
      <c r="D177" s="275" t="s">
        <v>753</v>
      </c>
      <c r="E177" s="276">
        <v>5</v>
      </c>
      <c r="F177" s="277" t="s">
        <v>853</v>
      </c>
      <c r="G177" s="259"/>
      <c r="H177" s="259"/>
      <c r="I177" s="259">
        <v>10417</v>
      </c>
      <c r="J177" s="259"/>
      <c r="K177" s="259"/>
      <c r="L177" s="259"/>
      <c r="M177" s="259"/>
      <c r="N177" s="259"/>
      <c r="O177" s="259"/>
      <c r="P177" s="259"/>
      <c r="Q177" s="259"/>
      <c r="R177" s="259"/>
      <c r="S177" s="259"/>
      <c r="T177" s="263">
        <f t="shared" si="16"/>
        <v>10417</v>
      </c>
      <c r="U177" s="274"/>
      <c r="V177" s="259"/>
      <c r="W177" s="259">
        <v>10417</v>
      </c>
      <c r="X177" s="259"/>
      <c r="Y177" s="259"/>
      <c r="Z177" s="259"/>
      <c r="AA177" s="259"/>
      <c r="AB177" s="259"/>
      <c r="AC177" s="259"/>
      <c r="AD177" s="259"/>
      <c r="AE177" s="311">
        <f t="shared" si="17"/>
        <v>10417</v>
      </c>
      <c r="AG177" s="307">
        <f t="shared" si="0"/>
        <v>0</v>
      </c>
    </row>
    <row r="178" spans="2:33" s="307" customFormat="1" ht="12.75">
      <c r="B178" s="274"/>
      <c r="C178" s="275"/>
      <c r="D178" s="275" t="s">
        <v>753</v>
      </c>
      <c r="E178" s="276">
        <v>5</v>
      </c>
      <c r="F178" s="277" t="s">
        <v>854</v>
      </c>
      <c r="G178" s="259"/>
      <c r="H178" s="259"/>
      <c r="I178" s="259">
        <v>3015</v>
      </c>
      <c r="J178" s="259"/>
      <c r="K178" s="259"/>
      <c r="L178" s="259"/>
      <c r="M178" s="259"/>
      <c r="N178" s="259"/>
      <c r="O178" s="259"/>
      <c r="P178" s="259"/>
      <c r="Q178" s="259"/>
      <c r="R178" s="259"/>
      <c r="S178" s="259"/>
      <c r="T178" s="263">
        <f t="shared" si="16"/>
        <v>3015</v>
      </c>
      <c r="U178" s="274"/>
      <c r="V178" s="259"/>
      <c r="W178" s="259">
        <v>3015</v>
      </c>
      <c r="X178" s="259"/>
      <c r="Y178" s="259"/>
      <c r="Z178" s="259"/>
      <c r="AA178" s="259"/>
      <c r="AB178" s="259"/>
      <c r="AC178" s="259"/>
      <c r="AD178" s="259"/>
      <c r="AE178" s="311">
        <f t="shared" si="17"/>
        <v>3015</v>
      </c>
      <c r="AG178" s="307">
        <f t="shared" si="0"/>
        <v>0</v>
      </c>
    </row>
    <row r="179" spans="2:33" s="307" customFormat="1" ht="12.75">
      <c r="B179" s="274"/>
      <c r="C179" s="275"/>
      <c r="D179" s="275" t="s">
        <v>855</v>
      </c>
      <c r="E179" s="275" t="s">
        <v>745</v>
      </c>
      <c r="F179" s="274" t="s">
        <v>856</v>
      </c>
      <c r="G179" s="259"/>
      <c r="H179" s="259"/>
      <c r="I179" s="259"/>
      <c r="J179" s="259"/>
      <c r="K179" s="259"/>
      <c r="L179" s="259"/>
      <c r="M179" s="259"/>
      <c r="N179" s="259"/>
      <c r="O179" s="259"/>
      <c r="P179" s="259"/>
      <c r="Q179" s="259">
        <v>7193</v>
      </c>
      <c r="R179" s="259"/>
      <c r="S179" s="259"/>
      <c r="T179" s="263">
        <f t="shared" si="16"/>
        <v>7193</v>
      </c>
      <c r="U179" s="274"/>
      <c r="V179" s="259"/>
      <c r="W179" s="259"/>
      <c r="X179" s="259"/>
      <c r="Y179" s="259"/>
      <c r="Z179" s="259"/>
      <c r="AA179" s="259">
        <v>7193</v>
      </c>
      <c r="AB179" s="259"/>
      <c r="AC179" s="259"/>
      <c r="AD179" s="259"/>
      <c r="AE179" s="311">
        <f t="shared" si="17"/>
        <v>7193</v>
      </c>
      <c r="AG179" s="307">
        <f t="shared" si="0"/>
        <v>0</v>
      </c>
    </row>
    <row r="180" spans="2:33" s="307" customFormat="1" ht="12.75">
      <c r="B180" s="274"/>
      <c r="C180" s="275"/>
      <c r="D180" s="275" t="s">
        <v>649</v>
      </c>
      <c r="E180" s="275" t="s">
        <v>745</v>
      </c>
      <c r="F180" s="274" t="s">
        <v>857</v>
      </c>
      <c r="G180" s="259"/>
      <c r="H180" s="259"/>
      <c r="I180" s="259">
        <v>-3000</v>
      </c>
      <c r="J180" s="259"/>
      <c r="K180" s="259"/>
      <c r="L180" s="259"/>
      <c r="M180" s="259">
        <v>3000</v>
      </c>
      <c r="N180" s="259"/>
      <c r="O180" s="259"/>
      <c r="P180" s="259"/>
      <c r="Q180" s="259"/>
      <c r="R180" s="259"/>
      <c r="S180" s="259"/>
      <c r="T180" s="263">
        <f t="shared" si="16"/>
        <v>0</v>
      </c>
      <c r="U180" s="274"/>
      <c r="V180" s="259"/>
      <c r="W180" s="259"/>
      <c r="X180" s="259"/>
      <c r="Y180" s="259"/>
      <c r="Z180" s="259"/>
      <c r="AA180" s="259"/>
      <c r="AB180" s="259"/>
      <c r="AC180" s="259"/>
      <c r="AD180" s="259"/>
      <c r="AE180" s="311">
        <f t="shared" si="17"/>
        <v>0</v>
      </c>
      <c r="AG180" s="307">
        <f t="shared" si="0"/>
        <v>0</v>
      </c>
    </row>
    <row r="181" spans="2:34" s="307" customFormat="1" ht="12.75">
      <c r="B181" s="274"/>
      <c r="C181" s="275"/>
      <c r="D181" s="275" t="s">
        <v>629</v>
      </c>
      <c r="E181" s="275" t="s">
        <v>745</v>
      </c>
      <c r="F181" s="274" t="s">
        <v>858</v>
      </c>
      <c r="G181" s="259"/>
      <c r="H181" s="259"/>
      <c r="I181" s="259"/>
      <c r="J181" s="259"/>
      <c r="K181" s="259"/>
      <c r="L181" s="259"/>
      <c r="M181" s="259"/>
      <c r="N181" s="259"/>
      <c r="O181" s="259"/>
      <c r="P181" s="259"/>
      <c r="Q181" s="259">
        <v>177188</v>
      </c>
      <c r="R181" s="259"/>
      <c r="S181" s="259"/>
      <c r="T181" s="263">
        <f t="shared" si="16"/>
        <v>177188</v>
      </c>
      <c r="U181" s="274"/>
      <c r="V181" s="259"/>
      <c r="W181" s="259"/>
      <c r="X181" s="259"/>
      <c r="Y181" s="259"/>
      <c r="Z181" s="259"/>
      <c r="AA181" s="259">
        <v>177188</v>
      </c>
      <c r="AB181" s="259"/>
      <c r="AC181" s="259"/>
      <c r="AD181" s="259"/>
      <c r="AE181" s="311">
        <f t="shared" si="17"/>
        <v>177188</v>
      </c>
      <c r="AG181" s="307">
        <f t="shared" si="0"/>
        <v>0</v>
      </c>
      <c r="AH181" s="307">
        <f>SUM(AE176:AE181)</f>
        <v>510167</v>
      </c>
    </row>
    <row r="182" spans="2:33" s="307" customFormat="1" ht="12.75">
      <c r="B182" s="274" t="s">
        <v>737</v>
      </c>
      <c r="C182" s="275" t="s">
        <v>859</v>
      </c>
      <c r="D182" s="280" t="s">
        <v>738</v>
      </c>
      <c r="E182" s="276">
        <v>4</v>
      </c>
      <c r="F182" s="277" t="s">
        <v>739</v>
      </c>
      <c r="G182" s="259"/>
      <c r="H182" s="259"/>
      <c r="I182" s="259">
        <v>14941</v>
      </c>
      <c r="J182" s="259"/>
      <c r="K182" s="259"/>
      <c r="L182" s="259"/>
      <c r="M182" s="259"/>
      <c r="N182" s="259"/>
      <c r="O182" s="259"/>
      <c r="P182" s="259"/>
      <c r="Q182" s="259">
        <v>-14941</v>
      </c>
      <c r="R182" s="259"/>
      <c r="S182" s="259"/>
      <c r="T182" s="263">
        <f t="shared" si="16"/>
        <v>0</v>
      </c>
      <c r="U182" s="274"/>
      <c r="V182" s="259"/>
      <c r="W182" s="259"/>
      <c r="X182" s="259"/>
      <c r="Y182" s="259"/>
      <c r="Z182" s="259"/>
      <c r="AA182" s="259"/>
      <c r="AB182" s="259"/>
      <c r="AC182" s="259"/>
      <c r="AD182" s="259"/>
      <c r="AE182" s="311">
        <f t="shared" si="17"/>
        <v>0</v>
      </c>
      <c r="AG182" s="307">
        <f t="shared" si="0"/>
        <v>0</v>
      </c>
    </row>
    <row r="183" spans="1:33" s="265" customFormat="1" ht="12.75">
      <c r="A183" s="273"/>
      <c r="B183" s="294" t="s">
        <v>740</v>
      </c>
      <c r="C183" s="295" t="s">
        <v>734</v>
      </c>
      <c r="D183" s="296"/>
      <c r="E183" s="297">
        <v>2</v>
      </c>
      <c r="F183" s="298" t="s">
        <v>860</v>
      </c>
      <c r="G183" s="299"/>
      <c r="H183" s="299"/>
      <c r="I183" s="299">
        <v>107900</v>
      </c>
      <c r="J183" s="299"/>
      <c r="K183" s="299"/>
      <c r="L183" s="299"/>
      <c r="M183" s="299"/>
      <c r="N183" s="299"/>
      <c r="O183" s="299"/>
      <c r="P183" s="299"/>
      <c r="Q183" s="299"/>
      <c r="R183" s="299"/>
      <c r="S183" s="299"/>
      <c r="T183" s="300">
        <f>SUM(G183:S183)</f>
        <v>107900</v>
      </c>
      <c r="U183" s="299"/>
      <c r="V183" s="299"/>
      <c r="W183" s="299"/>
      <c r="X183" s="299"/>
      <c r="Y183" s="299"/>
      <c r="Z183" s="299"/>
      <c r="AA183" s="299"/>
      <c r="AB183" s="299">
        <v>107900</v>
      </c>
      <c r="AC183" s="299"/>
      <c r="AD183" s="299"/>
      <c r="AE183" s="300">
        <f>SUM(U183:AD183)</f>
        <v>107900</v>
      </c>
      <c r="AF183" s="259"/>
      <c r="AG183" s="264">
        <f>AE183-T183</f>
        <v>0</v>
      </c>
    </row>
    <row r="184" spans="2:33" s="307" customFormat="1" ht="12.75">
      <c r="B184" s="274" t="s">
        <v>861</v>
      </c>
      <c r="C184" s="275" t="s">
        <v>862</v>
      </c>
      <c r="D184" s="275" t="s">
        <v>618</v>
      </c>
      <c r="E184" s="275" t="s">
        <v>745</v>
      </c>
      <c r="F184" s="284" t="s">
        <v>829</v>
      </c>
      <c r="G184" s="259"/>
      <c r="H184" s="259"/>
      <c r="I184" s="259">
        <v>2740</v>
      </c>
      <c r="J184" s="259"/>
      <c r="K184" s="259"/>
      <c r="L184" s="259"/>
      <c r="M184" s="259"/>
      <c r="N184" s="259"/>
      <c r="O184" s="259"/>
      <c r="P184" s="259"/>
      <c r="Q184" s="259"/>
      <c r="R184" s="259"/>
      <c r="S184" s="259"/>
      <c r="T184" s="263">
        <f t="shared" si="16"/>
        <v>2740</v>
      </c>
      <c r="U184" s="274"/>
      <c r="V184" s="259"/>
      <c r="W184" s="259">
        <v>2740</v>
      </c>
      <c r="X184" s="259"/>
      <c r="Y184" s="259"/>
      <c r="Z184" s="259"/>
      <c r="AA184" s="259"/>
      <c r="AB184" s="259"/>
      <c r="AC184" s="259"/>
      <c r="AD184" s="259"/>
      <c r="AE184" s="311">
        <f t="shared" si="17"/>
        <v>2740</v>
      </c>
      <c r="AG184" s="307">
        <f t="shared" si="0"/>
        <v>0</v>
      </c>
    </row>
    <row r="185" spans="2:33" s="307" customFormat="1" ht="12.75">
      <c r="B185" s="274"/>
      <c r="C185" s="275"/>
      <c r="D185" s="275" t="s">
        <v>750</v>
      </c>
      <c r="E185" s="275" t="s">
        <v>745</v>
      </c>
      <c r="F185" s="302" t="s">
        <v>863</v>
      </c>
      <c r="G185" s="259"/>
      <c r="H185" s="259"/>
      <c r="I185" s="259">
        <v>128755</v>
      </c>
      <c r="J185" s="259"/>
      <c r="K185" s="259"/>
      <c r="L185" s="259"/>
      <c r="M185" s="259"/>
      <c r="N185" s="259"/>
      <c r="O185" s="259"/>
      <c r="P185" s="259"/>
      <c r="Q185" s="259">
        <v>40000</v>
      </c>
      <c r="R185" s="259"/>
      <c r="S185" s="259"/>
      <c r="T185" s="263">
        <f t="shared" si="16"/>
        <v>168755</v>
      </c>
      <c r="U185" s="274"/>
      <c r="V185" s="259">
        <v>84377</v>
      </c>
      <c r="W185" s="259">
        <v>84378</v>
      </c>
      <c r="X185" s="259"/>
      <c r="Y185" s="259"/>
      <c r="Z185" s="259"/>
      <c r="AA185" s="259"/>
      <c r="AB185" s="259"/>
      <c r="AC185" s="259"/>
      <c r="AD185" s="259"/>
      <c r="AE185" s="311">
        <f t="shared" si="17"/>
        <v>168755</v>
      </c>
      <c r="AG185" s="307">
        <f t="shared" si="0"/>
        <v>0</v>
      </c>
    </row>
    <row r="186" spans="2:33" s="307" customFormat="1" ht="12.75">
      <c r="B186" s="274"/>
      <c r="C186" s="275"/>
      <c r="D186" s="275" t="s">
        <v>750</v>
      </c>
      <c r="E186" s="275" t="s">
        <v>745</v>
      </c>
      <c r="F186" s="302" t="s">
        <v>864</v>
      </c>
      <c r="G186" s="259"/>
      <c r="H186" s="259"/>
      <c r="I186" s="259">
        <v>42914</v>
      </c>
      <c r="J186" s="259"/>
      <c r="K186" s="259"/>
      <c r="L186" s="259"/>
      <c r="M186" s="259"/>
      <c r="N186" s="259"/>
      <c r="O186" s="259"/>
      <c r="P186" s="259"/>
      <c r="Q186" s="259"/>
      <c r="R186" s="259"/>
      <c r="S186" s="259"/>
      <c r="T186" s="263">
        <f t="shared" si="16"/>
        <v>42914</v>
      </c>
      <c r="U186" s="274"/>
      <c r="V186" s="259">
        <v>42914</v>
      </c>
      <c r="W186" s="259"/>
      <c r="X186" s="259"/>
      <c r="Y186" s="259"/>
      <c r="Z186" s="259"/>
      <c r="AA186" s="259"/>
      <c r="AB186" s="259"/>
      <c r="AC186" s="259"/>
      <c r="AD186" s="259"/>
      <c r="AE186" s="311">
        <f t="shared" si="17"/>
        <v>42914</v>
      </c>
      <c r="AG186" s="307">
        <f t="shared" si="0"/>
        <v>0</v>
      </c>
    </row>
    <row r="187" spans="2:33" s="307" customFormat="1" ht="12.75">
      <c r="B187" s="274"/>
      <c r="C187" s="275"/>
      <c r="D187" s="275"/>
      <c r="E187" s="275" t="s">
        <v>745</v>
      </c>
      <c r="F187" s="301" t="s">
        <v>865</v>
      </c>
      <c r="G187" s="259"/>
      <c r="H187" s="259"/>
      <c r="I187" s="259">
        <v>600</v>
      </c>
      <c r="J187" s="259"/>
      <c r="K187" s="259"/>
      <c r="L187" s="259"/>
      <c r="M187" s="259"/>
      <c r="N187" s="259"/>
      <c r="O187" s="259"/>
      <c r="P187" s="259"/>
      <c r="Q187" s="259"/>
      <c r="R187" s="259"/>
      <c r="S187" s="259"/>
      <c r="T187" s="263">
        <f t="shared" si="16"/>
        <v>600</v>
      </c>
      <c r="U187" s="274"/>
      <c r="V187" s="259"/>
      <c r="W187" s="259">
        <v>600</v>
      </c>
      <c r="X187" s="259"/>
      <c r="Y187" s="259"/>
      <c r="Z187" s="259"/>
      <c r="AA187" s="259"/>
      <c r="AB187" s="259"/>
      <c r="AC187" s="259"/>
      <c r="AD187" s="259"/>
      <c r="AE187" s="311">
        <f t="shared" si="17"/>
        <v>600</v>
      </c>
      <c r="AG187" s="307">
        <f t="shared" si="0"/>
        <v>0</v>
      </c>
    </row>
    <row r="188" spans="2:33" s="307" customFormat="1" ht="12.75">
      <c r="B188" s="274"/>
      <c r="C188" s="275"/>
      <c r="D188" s="275" t="s">
        <v>753</v>
      </c>
      <c r="E188" s="276">
        <v>5</v>
      </c>
      <c r="F188" s="277" t="s">
        <v>866</v>
      </c>
      <c r="G188" s="259"/>
      <c r="H188" s="259"/>
      <c r="I188" s="259">
        <v>26</v>
      </c>
      <c r="J188" s="259"/>
      <c r="K188" s="259"/>
      <c r="L188" s="259"/>
      <c r="M188" s="259"/>
      <c r="N188" s="259"/>
      <c r="O188" s="259"/>
      <c r="P188" s="259"/>
      <c r="Q188" s="259"/>
      <c r="R188" s="259"/>
      <c r="S188" s="259"/>
      <c r="T188" s="263">
        <f t="shared" si="16"/>
        <v>26</v>
      </c>
      <c r="U188" s="274"/>
      <c r="V188" s="259"/>
      <c r="W188" s="259">
        <v>26</v>
      </c>
      <c r="X188" s="259"/>
      <c r="Y188" s="259"/>
      <c r="Z188" s="259"/>
      <c r="AA188" s="259"/>
      <c r="AB188" s="259"/>
      <c r="AC188" s="259"/>
      <c r="AD188" s="259"/>
      <c r="AE188" s="311">
        <f t="shared" si="17"/>
        <v>26</v>
      </c>
      <c r="AG188" s="307">
        <f t="shared" si="0"/>
        <v>0</v>
      </c>
    </row>
    <row r="189" spans="2:33" s="307" customFormat="1" ht="12.75">
      <c r="B189" s="274"/>
      <c r="C189" s="275"/>
      <c r="D189" s="275" t="s">
        <v>753</v>
      </c>
      <c r="E189" s="276">
        <v>5</v>
      </c>
      <c r="F189" s="277" t="s">
        <v>867</v>
      </c>
      <c r="G189" s="259"/>
      <c r="H189" s="259"/>
      <c r="I189" s="259">
        <v>2379</v>
      </c>
      <c r="J189" s="259"/>
      <c r="K189" s="259"/>
      <c r="L189" s="259"/>
      <c r="M189" s="259"/>
      <c r="N189" s="259"/>
      <c r="O189" s="259"/>
      <c r="P189" s="259"/>
      <c r="Q189" s="259"/>
      <c r="R189" s="259"/>
      <c r="S189" s="259"/>
      <c r="T189" s="263">
        <f t="shared" si="16"/>
        <v>2379</v>
      </c>
      <c r="U189" s="274"/>
      <c r="V189" s="259"/>
      <c r="W189" s="259">
        <v>2379</v>
      </c>
      <c r="X189" s="259"/>
      <c r="Y189" s="259"/>
      <c r="Z189" s="259"/>
      <c r="AA189" s="259"/>
      <c r="AB189" s="259"/>
      <c r="AC189" s="259"/>
      <c r="AD189" s="259"/>
      <c r="AE189" s="311">
        <f t="shared" si="17"/>
        <v>2379</v>
      </c>
      <c r="AG189" s="307">
        <f t="shared" si="0"/>
        <v>0</v>
      </c>
    </row>
    <row r="190" spans="2:33" s="307" customFormat="1" ht="12.75">
      <c r="B190" s="274"/>
      <c r="C190" s="275"/>
      <c r="D190" s="275" t="s">
        <v>750</v>
      </c>
      <c r="E190" s="275" t="s">
        <v>745</v>
      </c>
      <c r="F190" s="302" t="s">
        <v>868</v>
      </c>
      <c r="G190" s="259"/>
      <c r="H190" s="259"/>
      <c r="I190" s="259"/>
      <c r="J190" s="259"/>
      <c r="K190" s="259"/>
      <c r="L190" s="259"/>
      <c r="M190" s="259"/>
      <c r="N190" s="259"/>
      <c r="O190" s="259"/>
      <c r="P190" s="259"/>
      <c r="Q190" s="259"/>
      <c r="R190" s="259"/>
      <c r="S190" s="259"/>
      <c r="T190" s="263">
        <f t="shared" si="16"/>
        <v>0</v>
      </c>
      <c r="U190" s="274"/>
      <c r="V190" s="259">
        <v>1457</v>
      </c>
      <c r="W190" s="259">
        <v>-1457</v>
      </c>
      <c r="X190" s="259"/>
      <c r="Y190" s="259"/>
      <c r="Z190" s="259"/>
      <c r="AA190" s="259"/>
      <c r="AB190" s="259"/>
      <c r="AC190" s="259"/>
      <c r="AD190" s="259"/>
      <c r="AE190" s="311">
        <f t="shared" si="17"/>
        <v>0</v>
      </c>
      <c r="AG190" s="307">
        <f t="shared" si="0"/>
        <v>0</v>
      </c>
    </row>
    <row r="191" spans="2:33" s="307" customFormat="1" ht="12.75">
      <c r="B191" s="274"/>
      <c r="C191" s="275"/>
      <c r="D191" s="275" t="s">
        <v>869</v>
      </c>
      <c r="E191" s="275" t="s">
        <v>745</v>
      </c>
      <c r="F191" s="302" t="s">
        <v>870</v>
      </c>
      <c r="G191" s="259"/>
      <c r="H191" s="259"/>
      <c r="I191" s="259"/>
      <c r="J191" s="259"/>
      <c r="K191" s="259"/>
      <c r="L191" s="259"/>
      <c r="M191" s="259">
        <v>2400</v>
      </c>
      <c r="N191" s="259"/>
      <c r="O191" s="259"/>
      <c r="P191" s="259"/>
      <c r="Q191" s="259"/>
      <c r="R191" s="259"/>
      <c r="S191" s="259"/>
      <c r="T191" s="263">
        <f t="shared" si="16"/>
        <v>2400</v>
      </c>
      <c r="U191" s="274"/>
      <c r="V191" s="259">
        <v>2400</v>
      </c>
      <c r="W191" s="259"/>
      <c r="X191" s="259"/>
      <c r="Y191" s="259"/>
      <c r="Z191" s="259"/>
      <c r="AA191" s="259"/>
      <c r="AB191" s="259"/>
      <c r="AC191" s="259"/>
      <c r="AD191" s="259"/>
      <c r="AE191" s="311">
        <f t="shared" si="17"/>
        <v>2400</v>
      </c>
      <c r="AG191" s="307">
        <f t="shared" si="0"/>
        <v>0</v>
      </c>
    </row>
    <row r="192" spans="2:33" s="307" customFormat="1" ht="12.75">
      <c r="B192" s="274"/>
      <c r="C192" s="275"/>
      <c r="D192" s="285">
        <v>6904</v>
      </c>
      <c r="E192" s="276">
        <v>5</v>
      </c>
      <c r="F192" s="284" t="s">
        <v>871</v>
      </c>
      <c r="G192" s="259"/>
      <c r="H192" s="259"/>
      <c r="I192" s="259"/>
      <c r="J192" s="259"/>
      <c r="K192" s="259"/>
      <c r="L192" s="259"/>
      <c r="M192" s="259"/>
      <c r="N192" s="259"/>
      <c r="O192" s="259"/>
      <c r="P192" s="259"/>
      <c r="Q192" s="259"/>
      <c r="R192" s="259"/>
      <c r="S192" s="259"/>
      <c r="T192" s="263">
        <f t="shared" si="16"/>
        <v>0</v>
      </c>
      <c r="U192" s="274"/>
      <c r="V192" s="259"/>
      <c r="W192" s="259">
        <v>-1684</v>
      </c>
      <c r="X192" s="259"/>
      <c r="Y192" s="259"/>
      <c r="Z192" s="259"/>
      <c r="AA192" s="259">
        <v>1684</v>
      </c>
      <c r="AB192" s="259"/>
      <c r="AC192" s="259"/>
      <c r="AD192" s="259"/>
      <c r="AE192" s="311">
        <f t="shared" si="17"/>
        <v>0</v>
      </c>
      <c r="AG192" s="307">
        <f t="shared" si="0"/>
        <v>0</v>
      </c>
    </row>
    <row r="193" spans="2:33" s="307" customFormat="1" ht="12.75">
      <c r="B193" s="274"/>
      <c r="C193" s="275"/>
      <c r="D193" s="280" t="s">
        <v>717</v>
      </c>
      <c r="E193" s="276">
        <v>5</v>
      </c>
      <c r="F193" s="291" t="s">
        <v>718</v>
      </c>
      <c r="G193" s="259"/>
      <c r="H193" s="259"/>
      <c r="I193" s="259"/>
      <c r="J193" s="259"/>
      <c r="K193" s="259"/>
      <c r="L193" s="259"/>
      <c r="M193" s="259"/>
      <c r="N193" s="259"/>
      <c r="O193" s="259"/>
      <c r="P193" s="259">
        <v>10491</v>
      </c>
      <c r="Q193" s="259">
        <v>-10491</v>
      </c>
      <c r="R193" s="259"/>
      <c r="S193" s="259"/>
      <c r="T193" s="263">
        <f t="shared" si="16"/>
        <v>0</v>
      </c>
      <c r="U193" s="274"/>
      <c r="V193" s="259"/>
      <c r="W193" s="259"/>
      <c r="X193" s="259"/>
      <c r="Y193" s="259"/>
      <c r="Z193" s="259"/>
      <c r="AA193" s="259"/>
      <c r="AB193" s="259"/>
      <c r="AC193" s="259"/>
      <c r="AD193" s="259"/>
      <c r="AE193" s="311">
        <f t="shared" si="17"/>
        <v>0</v>
      </c>
      <c r="AG193" s="307">
        <f t="shared" si="0"/>
        <v>0</v>
      </c>
    </row>
    <row r="194" spans="2:34" s="307" customFormat="1" ht="12.75">
      <c r="B194" s="274"/>
      <c r="C194" s="275"/>
      <c r="D194" s="280" t="s">
        <v>606</v>
      </c>
      <c r="E194" s="276">
        <v>5</v>
      </c>
      <c r="F194" s="277" t="s">
        <v>872</v>
      </c>
      <c r="G194" s="259"/>
      <c r="H194" s="259"/>
      <c r="I194" s="259">
        <v>-9832</v>
      </c>
      <c r="J194" s="259"/>
      <c r="K194" s="259">
        <v>9832</v>
      </c>
      <c r="L194" s="259"/>
      <c r="M194" s="259"/>
      <c r="N194" s="259"/>
      <c r="O194" s="259"/>
      <c r="P194" s="259"/>
      <c r="Q194" s="259"/>
      <c r="R194" s="259"/>
      <c r="S194" s="259"/>
      <c r="T194" s="263">
        <f t="shared" si="16"/>
        <v>0</v>
      </c>
      <c r="U194" s="274"/>
      <c r="V194" s="259"/>
      <c r="W194" s="259"/>
      <c r="X194" s="259"/>
      <c r="Y194" s="259"/>
      <c r="Z194" s="259"/>
      <c r="AA194" s="259"/>
      <c r="AB194" s="259"/>
      <c r="AC194" s="259"/>
      <c r="AD194" s="259"/>
      <c r="AE194" s="311">
        <f t="shared" si="17"/>
        <v>0</v>
      </c>
      <c r="AG194" s="307">
        <f t="shared" si="0"/>
        <v>0</v>
      </c>
      <c r="AH194" s="307">
        <f>SUM(AE184:AE194)</f>
        <v>219814</v>
      </c>
    </row>
    <row r="195" spans="2:33" s="307" customFormat="1" ht="12.75">
      <c r="B195" s="274" t="s">
        <v>873</v>
      </c>
      <c r="C195" s="275" t="s">
        <v>874</v>
      </c>
      <c r="D195" s="280" t="s">
        <v>728</v>
      </c>
      <c r="E195" s="276">
        <v>5</v>
      </c>
      <c r="F195" s="315" t="s">
        <v>729</v>
      </c>
      <c r="G195" s="259"/>
      <c r="H195" s="259"/>
      <c r="I195" s="259">
        <v>-2000</v>
      </c>
      <c r="J195" s="259"/>
      <c r="K195" s="259"/>
      <c r="L195" s="259">
        <v>-5000</v>
      </c>
      <c r="M195" s="259"/>
      <c r="N195" s="259"/>
      <c r="O195" s="259"/>
      <c r="P195" s="259"/>
      <c r="Q195" s="259">
        <v>-3000</v>
      </c>
      <c r="R195" s="259"/>
      <c r="S195" s="259"/>
      <c r="T195" s="263">
        <f t="shared" si="16"/>
        <v>-10000</v>
      </c>
      <c r="U195" s="274"/>
      <c r="V195" s="259"/>
      <c r="W195" s="259"/>
      <c r="X195" s="259">
        <v>-10000</v>
      </c>
      <c r="Y195" s="259"/>
      <c r="Z195" s="259"/>
      <c r="AA195" s="259"/>
      <c r="AB195" s="259"/>
      <c r="AC195" s="259"/>
      <c r="AD195" s="259"/>
      <c r="AE195" s="311">
        <f t="shared" si="17"/>
        <v>-10000</v>
      </c>
      <c r="AG195" s="307">
        <f t="shared" si="0"/>
        <v>0</v>
      </c>
    </row>
    <row r="196" spans="2:33" s="307" customFormat="1" ht="12.75">
      <c r="B196" s="274" t="s">
        <v>875</v>
      </c>
      <c r="C196" s="275" t="s">
        <v>874</v>
      </c>
      <c r="D196" s="280" t="s">
        <v>728</v>
      </c>
      <c r="E196" s="276">
        <v>5</v>
      </c>
      <c r="F196" s="315" t="s">
        <v>729</v>
      </c>
      <c r="G196" s="259"/>
      <c r="H196" s="259"/>
      <c r="I196" s="259">
        <v>1647</v>
      </c>
      <c r="J196" s="259"/>
      <c r="K196" s="259">
        <v>5000</v>
      </c>
      <c r="L196" s="259"/>
      <c r="M196" s="259"/>
      <c r="N196" s="259"/>
      <c r="O196" s="259"/>
      <c r="P196" s="259"/>
      <c r="Q196" s="259">
        <v>3353</v>
      </c>
      <c r="R196" s="259"/>
      <c r="S196" s="259"/>
      <c r="T196" s="263">
        <f t="shared" si="16"/>
        <v>10000</v>
      </c>
      <c r="U196" s="274"/>
      <c r="V196" s="259"/>
      <c r="W196" s="259"/>
      <c r="X196" s="259">
        <v>10000</v>
      </c>
      <c r="Y196" s="259"/>
      <c r="Z196" s="259"/>
      <c r="AA196" s="259"/>
      <c r="AB196" s="259"/>
      <c r="AC196" s="259"/>
      <c r="AD196" s="259"/>
      <c r="AE196" s="311">
        <f t="shared" si="17"/>
        <v>10000</v>
      </c>
      <c r="AG196" s="307">
        <f t="shared" si="0"/>
        <v>0</v>
      </c>
    </row>
    <row r="197" spans="2:31" s="307" customFormat="1" ht="12.75">
      <c r="B197" s="274" t="s">
        <v>876</v>
      </c>
      <c r="C197" s="275" t="s">
        <v>874</v>
      </c>
      <c r="D197" s="275" t="s">
        <v>765</v>
      </c>
      <c r="E197" s="275" t="s">
        <v>590</v>
      </c>
      <c r="F197" s="303" t="s">
        <v>766</v>
      </c>
      <c r="G197" s="259"/>
      <c r="H197" s="259"/>
      <c r="I197" s="259">
        <v>11680</v>
      </c>
      <c r="J197" s="259"/>
      <c r="K197" s="259"/>
      <c r="L197" s="259"/>
      <c r="M197" s="259"/>
      <c r="N197" s="259"/>
      <c r="O197" s="259"/>
      <c r="P197" s="259"/>
      <c r="Q197" s="259"/>
      <c r="R197" s="259"/>
      <c r="S197" s="259"/>
      <c r="T197" s="263">
        <f t="shared" si="16"/>
        <v>11680</v>
      </c>
      <c r="U197" s="274"/>
      <c r="V197" s="259"/>
      <c r="W197" s="259"/>
      <c r="X197" s="259"/>
      <c r="Y197" s="259"/>
      <c r="Z197" s="259"/>
      <c r="AA197" s="259"/>
      <c r="AB197" s="259">
        <v>11680</v>
      </c>
      <c r="AC197" s="259"/>
      <c r="AD197" s="259"/>
      <c r="AE197" s="311">
        <f t="shared" si="17"/>
        <v>11680</v>
      </c>
    </row>
    <row r="198" spans="2:31" s="307" customFormat="1" ht="12.75">
      <c r="B198" s="274" t="s">
        <v>877</v>
      </c>
      <c r="C198" s="275" t="s">
        <v>874</v>
      </c>
      <c r="D198" s="275" t="s">
        <v>656</v>
      </c>
      <c r="E198" s="276">
        <v>2</v>
      </c>
      <c r="F198" s="277" t="s">
        <v>878</v>
      </c>
      <c r="G198" s="259">
        <v>11517</v>
      </c>
      <c r="H198" s="259"/>
      <c r="I198" s="259"/>
      <c r="J198" s="259"/>
      <c r="K198" s="259"/>
      <c r="L198" s="259"/>
      <c r="M198" s="259"/>
      <c r="N198" s="259"/>
      <c r="O198" s="259"/>
      <c r="P198" s="259"/>
      <c r="Q198" s="259"/>
      <c r="R198" s="259"/>
      <c r="S198" s="259"/>
      <c r="T198" s="263">
        <f t="shared" si="16"/>
        <v>11517</v>
      </c>
      <c r="U198" s="274"/>
      <c r="V198" s="259"/>
      <c r="W198" s="259"/>
      <c r="X198" s="259"/>
      <c r="Y198" s="259"/>
      <c r="Z198" s="259"/>
      <c r="AA198" s="259"/>
      <c r="AB198" s="259">
        <v>11517</v>
      </c>
      <c r="AC198" s="259"/>
      <c r="AD198" s="259"/>
      <c r="AE198" s="311">
        <f t="shared" si="17"/>
        <v>11517</v>
      </c>
    </row>
    <row r="199" spans="1:33" s="270" customFormat="1" ht="13.5">
      <c r="A199" s="282"/>
      <c r="B199" s="420" t="s">
        <v>879</v>
      </c>
      <c r="C199" s="421"/>
      <c r="D199" s="421"/>
      <c r="E199" s="421"/>
      <c r="F199" s="422"/>
      <c r="G199" s="269">
        <f>SUM(G175:G198)-G183</f>
        <v>98917</v>
      </c>
      <c r="H199" s="269">
        <f aca="true" t="shared" si="19" ref="H199:AF199">SUM(H175:H198)-H183</f>
        <v>5600</v>
      </c>
      <c r="I199" s="269">
        <f t="shared" si="19"/>
        <v>371186</v>
      </c>
      <c r="J199" s="269">
        <f t="shared" si="19"/>
        <v>0</v>
      </c>
      <c r="K199" s="269">
        <f t="shared" si="19"/>
        <v>14832</v>
      </c>
      <c r="L199" s="269">
        <f t="shared" si="19"/>
        <v>-5000</v>
      </c>
      <c r="M199" s="269">
        <f t="shared" si="19"/>
        <v>5400</v>
      </c>
      <c r="N199" s="269">
        <f t="shared" si="19"/>
        <v>0</v>
      </c>
      <c r="O199" s="269">
        <f t="shared" si="19"/>
        <v>0</v>
      </c>
      <c r="P199" s="269">
        <f t="shared" si="19"/>
        <v>10491</v>
      </c>
      <c r="Q199" s="269">
        <f t="shared" si="19"/>
        <v>233227</v>
      </c>
      <c r="R199" s="269">
        <f t="shared" si="19"/>
        <v>0</v>
      </c>
      <c r="S199" s="269">
        <f t="shared" si="19"/>
        <v>0</v>
      </c>
      <c r="T199" s="269">
        <f t="shared" si="19"/>
        <v>734653</v>
      </c>
      <c r="U199" s="269">
        <f t="shared" si="19"/>
        <v>0</v>
      </c>
      <c r="V199" s="269">
        <f t="shared" si="19"/>
        <v>131148</v>
      </c>
      <c r="W199" s="269">
        <f t="shared" si="19"/>
        <v>412768</v>
      </c>
      <c r="X199" s="269">
        <f t="shared" si="19"/>
        <v>0</v>
      </c>
      <c r="Y199" s="269">
        <f t="shared" si="19"/>
        <v>0</v>
      </c>
      <c r="Z199" s="269">
        <f t="shared" si="19"/>
        <v>0</v>
      </c>
      <c r="AA199" s="269">
        <f t="shared" si="19"/>
        <v>186065</v>
      </c>
      <c r="AB199" s="269">
        <f t="shared" si="19"/>
        <v>4672</v>
      </c>
      <c r="AC199" s="269">
        <f t="shared" si="19"/>
        <v>0</v>
      </c>
      <c r="AD199" s="269">
        <f t="shared" si="19"/>
        <v>0</v>
      </c>
      <c r="AE199" s="269">
        <f t="shared" si="19"/>
        <v>734653</v>
      </c>
      <c r="AF199" s="269">
        <f t="shared" si="19"/>
        <v>0</v>
      </c>
      <c r="AG199" s="307">
        <f t="shared" si="0"/>
        <v>0</v>
      </c>
    </row>
    <row r="200" spans="2:33" s="307" customFormat="1" ht="12.75">
      <c r="B200" s="274" t="s">
        <v>880</v>
      </c>
      <c r="C200" s="275" t="s">
        <v>851</v>
      </c>
      <c r="D200" s="275"/>
      <c r="E200" s="275" t="s">
        <v>585</v>
      </c>
      <c r="F200" s="274" t="s">
        <v>881</v>
      </c>
      <c r="G200" s="259"/>
      <c r="H200" s="259"/>
      <c r="I200" s="259">
        <v>100000</v>
      </c>
      <c r="J200" s="259"/>
      <c r="K200" s="259"/>
      <c r="L200" s="259"/>
      <c r="M200" s="259"/>
      <c r="N200" s="259"/>
      <c r="O200" s="259"/>
      <c r="P200" s="259"/>
      <c r="Q200" s="259"/>
      <c r="R200" s="259"/>
      <c r="S200" s="259"/>
      <c r="T200" s="263">
        <f t="shared" si="16"/>
        <v>100000</v>
      </c>
      <c r="U200" s="274"/>
      <c r="V200" s="259"/>
      <c r="W200" s="259"/>
      <c r="X200" s="259"/>
      <c r="Y200" s="259"/>
      <c r="Z200" s="259"/>
      <c r="AA200" s="259"/>
      <c r="AB200" s="259">
        <v>100000</v>
      </c>
      <c r="AC200" s="259"/>
      <c r="AD200" s="259"/>
      <c r="AE200" s="311">
        <f t="shared" si="17"/>
        <v>100000</v>
      </c>
      <c r="AG200" s="307">
        <f t="shared" si="0"/>
        <v>0</v>
      </c>
    </row>
    <row r="201" spans="2:33" s="307" customFormat="1" ht="12.75">
      <c r="B201" s="274" t="s">
        <v>882</v>
      </c>
      <c r="C201" s="275" t="s">
        <v>862</v>
      </c>
      <c r="D201" s="275" t="s">
        <v>659</v>
      </c>
      <c r="E201" s="275" t="s">
        <v>590</v>
      </c>
      <c r="F201" s="274" t="s">
        <v>883</v>
      </c>
      <c r="G201" s="259">
        <v>29156</v>
      </c>
      <c r="H201" s="259">
        <v>7735</v>
      </c>
      <c r="I201" s="259">
        <v>83</v>
      </c>
      <c r="J201" s="259"/>
      <c r="K201" s="259"/>
      <c r="L201" s="259"/>
      <c r="M201" s="259"/>
      <c r="N201" s="259"/>
      <c r="O201" s="259"/>
      <c r="P201" s="259"/>
      <c r="Q201" s="259"/>
      <c r="R201" s="259"/>
      <c r="S201" s="259"/>
      <c r="T201" s="263">
        <f t="shared" si="16"/>
        <v>36974</v>
      </c>
      <c r="U201" s="274"/>
      <c r="V201" s="259"/>
      <c r="W201" s="259"/>
      <c r="X201" s="259"/>
      <c r="Y201" s="259"/>
      <c r="Z201" s="259"/>
      <c r="AA201" s="259"/>
      <c r="AB201" s="259">
        <v>36974</v>
      </c>
      <c r="AC201" s="259"/>
      <c r="AD201" s="259"/>
      <c r="AE201" s="311">
        <f t="shared" si="17"/>
        <v>36974</v>
      </c>
      <c r="AG201" s="307">
        <f t="shared" si="0"/>
        <v>0</v>
      </c>
    </row>
    <row r="202" spans="2:33" s="307" customFormat="1" ht="12.75">
      <c r="B202" s="274" t="s">
        <v>884</v>
      </c>
      <c r="C202" s="275" t="s">
        <v>885</v>
      </c>
      <c r="D202" s="275"/>
      <c r="E202" s="275" t="s">
        <v>585</v>
      </c>
      <c r="F202" s="274" t="s">
        <v>886</v>
      </c>
      <c r="G202" s="259"/>
      <c r="H202" s="259"/>
      <c r="I202" s="259">
        <v>360109</v>
      </c>
      <c r="J202" s="259"/>
      <c r="K202" s="259"/>
      <c r="L202" s="259"/>
      <c r="M202" s="259"/>
      <c r="N202" s="259"/>
      <c r="O202" s="259"/>
      <c r="P202" s="259"/>
      <c r="Q202" s="259"/>
      <c r="R202" s="259"/>
      <c r="S202" s="259"/>
      <c r="T202" s="263">
        <f t="shared" si="16"/>
        <v>360109</v>
      </c>
      <c r="U202" s="279">
        <v>58807</v>
      </c>
      <c r="V202" s="259"/>
      <c r="W202" s="259"/>
      <c r="X202" s="259"/>
      <c r="Y202" s="259"/>
      <c r="Z202" s="259">
        <v>301302</v>
      </c>
      <c r="AA202" s="259"/>
      <c r="AB202" s="259"/>
      <c r="AC202" s="259"/>
      <c r="AD202" s="259"/>
      <c r="AE202" s="311">
        <f t="shared" si="17"/>
        <v>360109</v>
      </c>
      <c r="AG202" s="307">
        <f t="shared" si="0"/>
        <v>0</v>
      </c>
    </row>
    <row r="203" spans="2:33" s="307" customFormat="1" ht="12.75">
      <c r="B203" s="274" t="s">
        <v>887</v>
      </c>
      <c r="C203" s="275" t="s">
        <v>888</v>
      </c>
      <c r="D203" s="275" t="s">
        <v>618</v>
      </c>
      <c r="E203" s="275" t="s">
        <v>745</v>
      </c>
      <c r="F203" s="284" t="s">
        <v>889</v>
      </c>
      <c r="G203" s="259"/>
      <c r="H203" s="259"/>
      <c r="I203" s="259">
        <v>7225</v>
      </c>
      <c r="J203" s="259"/>
      <c r="K203" s="259"/>
      <c r="L203" s="259"/>
      <c r="M203" s="259"/>
      <c r="N203" s="259"/>
      <c r="O203" s="259"/>
      <c r="P203" s="259"/>
      <c r="Q203" s="259"/>
      <c r="R203" s="259"/>
      <c r="S203" s="259"/>
      <c r="T203" s="263">
        <f t="shared" si="16"/>
        <v>7225</v>
      </c>
      <c r="U203" s="274"/>
      <c r="V203" s="259"/>
      <c r="W203" s="259">
        <v>7225</v>
      </c>
      <c r="X203" s="259"/>
      <c r="Y203" s="259"/>
      <c r="Z203" s="259"/>
      <c r="AA203" s="259"/>
      <c r="AB203" s="259"/>
      <c r="AC203" s="259"/>
      <c r="AD203" s="259"/>
      <c r="AE203" s="311">
        <f t="shared" si="17"/>
        <v>7225</v>
      </c>
      <c r="AG203" s="307">
        <f t="shared" si="0"/>
        <v>0</v>
      </c>
    </row>
    <row r="204" spans="2:33" s="307" customFormat="1" ht="12.75">
      <c r="B204" s="274"/>
      <c r="C204" s="275"/>
      <c r="D204" s="275" t="s">
        <v>750</v>
      </c>
      <c r="E204" s="275" t="s">
        <v>745</v>
      </c>
      <c r="F204" s="302" t="s">
        <v>890</v>
      </c>
      <c r="G204" s="259">
        <v>587</v>
      </c>
      <c r="H204" s="259">
        <v>128</v>
      </c>
      <c r="I204" s="259">
        <v>19156</v>
      </c>
      <c r="J204" s="259"/>
      <c r="K204" s="259">
        <v>115467</v>
      </c>
      <c r="L204" s="259"/>
      <c r="M204" s="259"/>
      <c r="N204" s="259"/>
      <c r="O204" s="259"/>
      <c r="P204" s="259"/>
      <c r="Q204" s="259"/>
      <c r="R204" s="259"/>
      <c r="S204" s="259"/>
      <c r="T204" s="263">
        <f t="shared" si="16"/>
        <v>135338</v>
      </c>
      <c r="U204" s="274"/>
      <c r="V204" s="259">
        <v>68112</v>
      </c>
      <c r="W204" s="259">
        <v>67226</v>
      </c>
      <c r="X204" s="259"/>
      <c r="Y204" s="259"/>
      <c r="Z204" s="259"/>
      <c r="AA204" s="259"/>
      <c r="AB204" s="259"/>
      <c r="AC204" s="259"/>
      <c r="AD204" s="259"/>
      <c r="AE204" s="311">
        <f t="shared" si="17"/>
        <v>135338</v>
      </c>
      <c r="AG204" s="307">
        <f t="shared" si="0"/>
        <v>0</v>
      </c>
    </row>
    <row r="205" spans="2:33" s="307" customFormat="1" ht="12.75">
      <c r="B205" s="274"/>
      <c r="C205" s="275"/>
      <c r="D205" s="275" t="s">
        <v>891</v>
      </c>
      <c r="E205" s="275" t="s">
        <v>745</v>
      </c>
      <c r="F205" s="274" t="s">
        <v>892</v>
      </c>
      <c r="G205" s="259"/>
      <c r="H205" s="259"/>
      <c r="I205" s="259">
        <v>-1193</v>
      </c>
      <c r="J205" s="259"/>
      <c r="K205" s="259"/>
      <c r="L205" s="259"/>
      <c r="M205" s="259"/>
      <c r="N205" s="259"/>
      <c r="O205" s="259"/>
      <c r="P205" s="259"/>
      <c r="Q205" s="259">
        <v>1193</v>
      </c>
      <c r="R205" s="259"/>
      <c r="S205" s="259"/>
      <c r="T205" s="263">
        <f t="shared" si="16"/>
        <v>0</v>
      </c>
      <c r="U205" s="274"/>
      <c r="V205" s="259"/>
      <c r="W205" s="259"/>
      <c r="X205" s="259"/>
      <c r="Y205" s="259"/>
      <c r="Z205" s="259"/>
      <c r="AA205" s="259"/>
      <c r="AB205" s="259"/>
      <c r="AC205" s="259"/>
      <c r="AD205" s="259"/>
      <c r="AE205" s="311">
        <f t="shared" si="17"/>
        <v>0</v>
      </c>
      <c r="AG205" s="307">
        <f t="shared" si="0"/>
        <v>0</v>
      </c>
    </row>
    <row r="206" spans="2:34" s="307" customFormat="1" ht="12.75">
      <c r="B206" s="274"/>
      <c r="C206" s="275"/>
      <c r="D206" s="275" t="s">
        <v>645</v>
      </c>
      <c r="E206" s="275" t="s">
        <v>745</v>
      </c>
      <c r="F206" s="274" t="s">
        <v>597</v>
      </c>
      <c r="G206" s="259"/>
      <c r="H206" s="259"/>
      <c r="I206" s="259">
        <v>-2379</v>
      </c>
      <c r="J206" s="259"/>
      <c r="K206" s="259"/>
      <c r="L206" s="259"/>
      <c r="M206" s="259"/>
      <c r="N206" s="259"/>
      <c r="O206" s="259"/>
      <c r="P206" s="259"/>
      <c r="Q206" s="259">
        <v>2379</v>
      </c>
      <c r="R206" s="259"/>
      <c r="S206" s="259"/>
      <c r="T206" s="263">
        <f t="shared" si="16"/>
        <v>0</v>
      </c>
      <c r="U206" s="274"/>
      <c r="V206" s="259"/>
      <c r="W206" s="259"/>
      <c r="X206" s="259"/>
      <c r="Y206" s="259"/>
      <c r="Z206" s="259"/>
      <c r="AA206" s="259"/>
      <c r="AB206" s="259"/>
      <c r="AC206" s="259"/>
      <c r="AD206" s="259"/>
      <c r="AE206" s="311">
        <f t="shared" si="17"/>
        <v>0</v>
      </c>
      <c r="AG206" s="307">
        <f t="shared" si="0"/>
        <v>0</v>
      </c>
      <c r="AH206" s="307">
        <f>SUM(AE203:AE206)</f>
        <v>142563</v>
      </c>
    </row>
    <row r="207" spans="2:33" s="307" customFormat="1" ht="12.75">
      <c r="B207" s="274" t="s">
        <v>893</v>
      </c>
      <c r="C207" s="275" t="s">
        <v>894</v>
      </c>
      <c r="D207" s="275"/>
      <c r="E207" s="275" t="s">
        <v>585</v>
      </c>
      <c r="F207" s="274" t="s">
        <v>886</v>
      </c>
      <c r="G207" s="259"/>
      <c r="H207" s="259"/>
      <c r="I207" s="259">
        <v>1111508</v>
      </c>
      <c r="J207" s="259"/>
      <c r="K207" s="259"/>
      <c r="L207" s="259"/>
      <c r="M207" s="259"/>
      <c r="N207" s="259"/>
      <c r="O207" s="259"/>
      <c r="P207" s="259"/>
      <c r="Q207" s="259"/>
      <c r="R207" s="259"/>
      <c r="S207" s="259"/>
      <c r="T207" s="263">
        <f t="shared" si="16"/>
        <v>1111508</v>
      </c>
      <c r="U207" s="279">
        <v>1111508</v>
      </c>
      <c r="V207" s="259"/>
      <c r="W207" s="259"/>
      <c r="X207" s="259"/>
      <c r="Y207" s="259"/>
      <c r="Z207" s="259"/>
      <c r="AA207" s="259"/>
      <c r="AB207" s="259"/>
      <c r="AC207" s="259"/>
      <c r="AD207" s="259"/>
      <c r="AE207" s="311">
        <f t="shared" si="17"/>
        <v>1111508</v>
      </c>
      <c r="AG207" s="307">
        <f t="shared" si="0"/>
        <v>0</v>
      </c>
    </row>
    <row r="208" spans="2:33" s="307" customFormat="1" ht="12.75">
      <c r="B208" s="274"/>
      <c r="C208" s="275" t="s">
        <v>895</v>
      </c>
      <c r="D208" s="275" t="s">
        <v>649</v>
      </c>
      <c r="E208" s="275" t="s">
        <v>585</v>
      </c>
      <c r="F208" s="274" t="s">
        <v>896</v>
      </c>
      <c r="G208" s="259"/>
      <c r="H208" s="259"/>
      <c r="I208" s="259">
        <v>-38812</v>
      </c>
      <c r="J208" s="259"/>
      <c r="K208" s="259"/>
      <c r="L208" s="259"/>
      <c r="M208" s="259"/>
      <c r="N208" s="259"/>
      <c r="O208" s="259"/>
      <c r="P208" s="259"/>
      <c r="Q208" s="259"/>
      <c r="R208" s="259"/>
      <c r="S208" s="259"/>
      <c r="T208" s="263">
        <f t="shared" si="16"/>
        <v>-38812</v>
      </c>
      <c r="U208" s="279"/>
      <c r="V208" s="259"/>
      <c r="W208" s="259"/>
      <c r="X208" s="259"/>
      <c r="Y208" s="259"/>
      <c r="Z208" s="259"/>
      <c r="AA208" s="259"/>
      <c r="AB208" s="259">
        <v>-38812</v>
      </c>
      <c r="AC208" s="259"/>
      <c r="AD208" s="259"/>
      <c r="AE208" s="311">
        <f t="shared" si="17"/>
        <v>-38812</v>
      </c>
      <c r="AG208" s="307">
        <f t="shared" si="0"/>
        <v>0</v>
      </c>
    </row>
    <row r="209" spans="2:33" s="307" customFormat="1" ht="12.75">
      <c r="B209" s="274" t="s">
        <v>897</v>
      </c>
      <c r="C209" s="275" t="s">
        <v>898</v>
      </c>
      <c r="D209" s="275" t="s">
        <v>899</v>
      </c>
      <c r="E209" s="275" t="s">
        <v>585</v>
      </c>
      <c r="F209" s="274" t="s">
        <v>900</v>
      </c>
      <c r="G209" s="259"/>
      <c r="H209" s="259"/>
      <c r="I209" s="259">
        <v>15000</v>
      </c>
      <c r="J209" s="259"/>
      <c r="K209" s="259"/>
      <c r="L209" s="259"/>
      <c r="M209" s="259"/>
      <c r="N209" s="259"/>
      <c r="O209" s="259"/>
      <c r="P209" s="259"/>
      <c r="Q209" s="259"/>
      <c r="R209" s="259"/>
      <c r="S209" s="259"/>
      <c r="T209" s="263">
        <f>SUM(G209:S209)</f>
        <v>15000</v>
      </c>
      <c r="U209" s="274"/>
      <c r="V209" s="259"/>
      <c r="W209" s="259"/>
      <c r="X209" s="259"/>
      <c r="Y209" s="259"/>
      <c r="Z209" s="259"/>
      <c r="AA209" s="259"/>
      <c r="AB209" s="259">
        <v>15000</v>
      </c>
      <c r="AC209" s="259"/>
      <c r="AD209" s="259"/>
      <c r="AE209" s="311">
        <f>SUM(U209:AD209)</f>
        <v>15000</v>
      </c>
      <c r="AG209" s="307">
        <f>AE209-T209</f>
        <v>0</v>
      </c>
    </row>
    <row r="210" spans="2:33" s="307" customFormat="1" ht="12.75">
      <c r="B210" s="274" t="s">
        <v>901</v>
      </c>
      <c r="C210" s="275" t="s">
        <v>898</v>
      </c>
      <c r="D210" s="285">
        <v>6904</v>
      </c>
      <c r="E210" s="276">
        <v>5</v>
      </c>
      <c r="F210" s="284" t="s">
        <v>632</v>
      </c>
      <c r="G210" s="259">
        <v>25065</v>
      </c>
      <c r="H210" s="259">
        <v>7624</v>
      </c>
      <c r="I210" s="259"/>
      <c r="J210" s="259"/>
      <c r="K210" s="259"/>
      <c r="L210" s="259"/>
      <c r="M210" s="259"/>
      <c r="N210" s="259"/>
      <c r="O210" s="259"/>
      <c r="P210" s="259"/>
      <c r="Q210" s="259">
        <v>296208</v>
      </c>
      <c r="R210" s="259"/>
      <c r="S210" s="259"/>
      <c r="T210" s="263">
        <f t="shared" si="16"/>
        <v>328897</v>
      </c>
      <c r="U210" s="274"/>
      <c r="V210" s="259"/>
      <c r="W210" s="259">
        <v>32689</v>
      </c>
      <c r="X210" s="259"/>
      <c r="Y210" s="259"/>
      <c r="Z210" s="259"/>
      <c r="AA210" s="259">
        <v>296208</v>
      </c>
      <c r="AB210" s="259"/>
      <c r="AC210" s="259"/>
      <c r="AD210" s="259"/>
      <c r="AE210" s="311">
        <f t="shared" si="17"/>
        <v>328897</v>
      </c>
      <c r="AG210" s="307">
        <f t="shared" si="0"/>
        <v>0</v>
      </c>
    </row>
    <row r="211" spans="2:33" s="307" customFormat="1" ht="12.75">
      <c r="B211" s="274"/>
      <c r="C211" s="275"/>
      <c r="D211" s="275" t="s">
        <v>750</v>
      </c>
      <c r="E211" s="275" t="s">
        <v>745</v>
      </c>
      <c r="F211" s="302" t="s">
        <v>890</v>
      </c>
      <c r="G211" s="259"/>
      <c r="H211" s="259"/>
      <c r="I211" s="259"/>
      <c r="J211" s="259"/>
      <c r="K211" s="259">
        <v>183662</v>
      </c>
      <c r="L211" s="259"/>
      <c r="M211" s="259"/>
      <c r="N211" s="259"/>
      <c r="O211" s="259"/>
      <c r="P211" s="259"/>
      <c r="Q211" s="259"/>
      <c r="R211" s="259"/>
      <c r="S211" s="259"/>
      <c r="T211" s="263">
        <f t="shared" si="16"/>
        <v>183662</v>
      </c>
      <c r="U211" s="274"/>
      <c r="V211" s="259">
        <v>91782</v>
      </c>
      <c r="W211" s="259">
        <v>91880</v>
      </c>
      <c r="X211" s="259"/>
      <c r="Y211" s="259"/>
      <c r="Z211" s="259"/>
      <c r="AA211" s="259"/>
      <c r="AB211" s="259"/>
      <c r="AC211" s="259"/>
      <c r="AD211" s="259"/>
      <c r="AE211" s="311">
        <f t="shared" si="17"/>
        <v>183662</v>
      </c>
      <c r="AG211" s="307">
        <f t="shared" si="0"/>
        <v>0</v>
      </c>
    </row>
    <row r="212" spans="2:34" s="307" customFormat="1" ht="12.75">
      <c r="B212" s="274"/>
      <c r="C212" s="275"/>
      <c r="D212" s="275" t="s">
        <v>618</v>
      </c>
      <c r="E212" s="275" t="s">
        <v>745</v>
      </c>
      <c r="F212" s="284" t="s">
        <v>889</v>
      </c>
      <c r="G212" s="259"/>
      <c r="H212" s="259"/>
      <c r="I212" s="259">
        <v>1347</v>
      </c>
      <c r="J212" s="259"/>
      <c r="K212" s="259"/>
      <c r="L212" s="259"/>
      <c r="M212" s="259"/>
      <c r="N212" s="259"/>
      <c r="O212" s="259"/>
      <c r="P212" s="259"/>
      <c r="Q212" s="259"/>
      <c r="R212" s="259"/>
      <c r="S212" s="259"/>
      <c r="T212" s="263">
        <f t="shared" si="16"/>
        <v>1347</v>
      </c>
      <c r="U212" s="274"/>
      <c r="V212" s="259"/>
      <c r="W212" s="259">
        <v>1347</v>
      </c>
      <c r="X212" s="259"/>
      <c r="Y212" s="259"/>
      <c r="Z212" s="259"/>
      <c r="AA212" s="259"/>
      <c r="AB212" s="259"/>
      <c r="AC212" s="259"/>
      <c r="AD212" s="259"/>
      <c r="AE212" s="311">
        <f t="shared" si="17"/>
        <v>1347</v>
      </c>
      <c r="AG212" s="307">
        <f t="shared" si="0"/>
        <v>0</v>
      </c>
      <c r="AH212" s="307">
        <f>SUM(AE210:AE212)</f>
        <v>513906</v>
      </c>
    </row>
    <row r="213" spans="2:33" s="307" customFormat="1" ht="12.75">
      <c r="B213" s="274" t="s">
        <v>902</v>
      </c>
      <c r="C213" s="275" t="s">
        <v>903</v>
      </c>
      <c r="D213" s="275" t="s">
        <v>750</v>
      </c>
      <c r="E213" s="275" t="s">
        <v>745</v>
      </c>
      <c r="F213" s="302" t="s">
        <v>904</v>
      </c>
      <c r="G213" s="259"/>
      <c r="H213" s="259"/>
      <c r="I213" s="259">
        <v>-1060</v>
      </c>
      <c r="J213" s="259"/>
      <c r="K213" s="259">
        <v>1060</v>
      </c>
      <c r="L213" s="259"/>
      <c r="M213" s="259"/>
      <c r="N213" s="259"/>
      <c r="O213" s="259"/>
      <c r="P213" s="259"/>
      <c r="Q213" s="259"/>
      <c r="R213" s="259"/>
      <c r="S213" s="259"/>
      <c r="T213" s="263">
        <f t="shared" si="16"/>
        <v>0</v>
      </c>
      <c r="U213" s="274"/>
      <c r="V213" s="259"/>
      <c r="W213" s="259"/>
      <c r="X213" s="259"/>
      <c r="Y213" s="259"/>
      <c r="Z213" s="259"/>
      <c r="AA213" s="259"/>
      <c r="AB213" s="259"/>
      <c r="AC213" s="259"/>
      <c r="AD213" s="259"/>
      <c r="AE213" s="311">
        <f t="shared" si="17"/>
        <v>0</v>
      </c>
      <c r="AG213" s="307">
        <f t="shared" si="0"/>
        <v>0</v>
      </c>
    </row>
    <row r="214" spans="2:33" s="307" customFormat="1" ht="12.75">
      <c r="B214" s="274"/>
      <c r="C214" s="275"/>
      <c r="D214" s="275" t="s">
        <v>645</v>
      </c>
      <c r="E214" s="275" t="s">
        <v>745</v>
      </c>
      <c r="F214" s="274" t="s">
        <v>597</v>
      </c>
      <c r="G214" s="259"/>
      <c r="H214" s="259"/>
      <c r="I214" s="259">
        <v>-17086</v>
      </c>
      <c r="J214" s="259"/>
      <c r="K214" s="259"/>
      <c r="L214" s="259"/>
      <c r="M214" s="259">
        <v>17086</v>
      </c>
      <c r="N214" s="259"/>
      <c r="O214" s="259"/>
      <c r="P214" s="259"/>
      <c r="Q214" s="259"/>
      <c r="R214" s="259"/>
      <c r="S214" s="259"/>
      <c r="T214" s="263">
        <f t="shared" si="16"/>
        <v>0</v>
      </c>
      <c r="U214" s="274"/>
      <c r="V214" s="259"/>
      <c r="W214" s="259"/>
      <c r="X214" s="259"/>
      <c r="Y214" s="259"/>
      <c r="Z214" s="259"/>
      <c r="AA214" s="259"/>
      <c r="AB214" s="259"/>
      <c r="AC214" s="259"/>
      <c r="AD214" s="259"/>
      <c r="AE214" s="311">
        <f t="shared" si="17"/>
        <v>0</v>
      </c>
      <c r="AG214" s="307">
        <f t="shared" si="0"/>
        <v>0</v>
      </c>
    </row>
    <row r="215" spans="2:34" s="307" customFormat="1" ht="12.75">
      <c r="B215" s="274"/>
      <c r="C215" s="275"/>
      <c r="D215" s="275"/>
      <c r="E215" s="275" t="s">
        <v>745</v>
      </c>
      <c r="F215" s="274" t="s">
        <v>905</v>
      </c>
      <c r="G215" s="259"/>
      <c r="H215" s="259"/>
      <c r="I215" s="259">
        <v>-9559</v>
      </c>
      <c r="J215" s="259"/>
      <c r="K215" s="259">
        <v>9559</v>
      </c>
      <c r="L215" s="259"/>
      <c r="M215" s="259"/>
      <c r="N215" s="259"/>
      <c r="O215" s="259"/>
      <c r="P215" s="259"/>
      <c r="Q215" s="259"/>
      <c r="R215" s="259"/>
      <c r="S215" s="259"/>
      <c r="T215" s="263">
        <f t="shared" si="16"/>
        <v>0</v>
      </c>
      <c r="U215" s="274"/>
      <c r="V215" s="259"/>
      <c r="W215" s="259"/>
      <c r="X215" s="259"/>
      <c r="Y215" s="259"/>
      <c r="Z215" s="259"/>
      <c r="AA215" s="259"/>
      <c r="AB215" s="259"/>
      <c r="AC215" s="259"/>
      <c r="AD215" s="259"/>
      <c r="AE215" s="311">
        <f t="shared" si="17"/>
        <v>0</v>
      </c>
      <c r="AG215" s="307">
        <f t="shared" si="0"/>
        <v>0</v>
      </c>
      <c r="AH215" s="307">
        <f>SUM(AE213:AE215)</f>
        <v>0</v>
      </c>
    </row>
    <row r="216" spans="2:33" s="307" customFormat="1" ht="12.75">
      <c r="B216" s="274" t="s">
        <v>906</v>
      </c>
      <c r="C216" s="275" t="s">
        <v>903</v>
      </c>
      <c r="D216" s="275" t="s">
        <v>750</v>
      </c>
      <c r="E216" s="275" t="s">
        <v>745</v>
      </c>
      <c r="F216" s="302" t="s">
        <v>907</v>
      </c>
      <c r="G216" s="259"/>
      <c r="H216" s="259"/>
      <c r="I216" s="259"/>
      <c r="J216" s="259"/>
      <c r="K216" s="259">
        <v>269810</v>
      </c>
      <c r="L216" s="259"/>
      <c r="M216" s="259"/>
      <c r="N216" s="259"/>
      <c r="O216" s="259"/>
      <c r="P216" s="259"/>
      <c r="Q216" s="259"/>
      <c r="R216" s="259"/>
      <c r="S216" s="259"/>
      <c r="T216" s="263">
        <f t="shared" si="16"/>
        <v>269810</v>
      </c>
      <c r="U216" s="274"/>
      <c r="V216" s="259">
        <v>134905</v>
      </c>
      <c r="W216" s="259">
        <v>134905</v>
      </c>
      <c r="X216" s="259"/>
      <c r="Y216" s="259"/>
      <c r="Z216" s="259"/>
      <c r="AA216" s="259"/>
      <c r="AB216" s="259"/>
      <c r="AC216" s="259"/>
      <c r="AD216" s="259"/>
      <c r="AE216" s="311">
        <f t="shared" si="17"/>
        <v>269810</v>
      </c>
      <c r="AG216" s="307">
        <f t="shared" si="0"/>
        <v>0</v>
      </c>
    </row>
    <row r="217" spans="2:33" s="307" customFormat="1" ht="12.75">
      <c r="B217" s="274"/>
      <c r="C217" s="275"/>
      <c r="D217" s="275" t="s">
        <v>618</v>
      </c>
      <c r="E217" s="275" t="s">
        <v>745</v>
      </c>
      <c r="F217" s="284" t="s">
        <v>889</v>
      </c>
      <c r="G217" s="259"/>
      <c r="H217" s="259"/>
      <c r="I217" s="259">
        <v>6933</v>
      </c>
      <c r="J217" s="259"/>
      <c r="K217" s="259"/>
      <c r="L217" s="259"/>
      <c r="M217" s="259"/>
      <c r="N217" s="259"/>
      <c r="O217" s="259"/>
      <c r="P217" s="259"/>
      <c r="Q217" s="259"/>
      <c r="R217" s="259"/>
      <c r="S217" s="259"/>
      <c r="T217" s="263">
        <f t="shared" si="16"/>
        <v>6933</v>
      </c>
      <c r="U217" s="274"/>
      <c r="V217" s="259"/>
      <c r="W217" s="259">
        <v>6933</v>
      </c>
      <c r="X217" s="259"/>
      <c r="Y217" s="259"/>
      <c r="Z217" s="259"/>
      <c r="AA217" s="259"/>
      <c r="AB217" s="259"/>
      <c r="AC217" s="259"/>
      <c r="AD217" s="259"/>
      <c r="AE217" s="311">
        <f t="shared" si="17"/>
        <v>6933</v>
      </c>
      <c r="AG217" s="307">
        <f t="shared" si="0"/>
        <v>0</v>
      </c>
    </row>
    <row r="218" spans="2:34" s="307" customFormat="1" ht="12.75">
      <c r="B218" s="274"/>
      <c r="C218" s="275"/>
      <c r="D218" s="275" t="s">
        <v>652</v>
      </c>
      <c r="E218" s="275" t="s">
        <v>745</v>
      </c>
      <c r="F218" s="274" t="s">
        <v>908</v>
      </c>
      <c r="G218" s="259"/>
      <c r="H218" s="259"/>
      <c r="I218" s="259"/>
      <c r="J218" s="259"/>
      <c r="K218" s="259"/>
      <c r="L218" s="259"/>
      <c r="M218" s="259">
        <v>51162</v>
      </c>
      <c r="N218" s="259"/>
      <c r="O218" s="259"/>
      <c r="P218" s="259"/>
      <c r="Q218" s="259"/>
      <c r="R218" s="259"/>
      <c r="S218" s="259"/>
      <c r="T218" s="263">
        <f t="shared" si="16"/>
        <v>51162</v>
      </c>
      <c r="U218" s="274"/>
      <c r="V218" s="259"/>
      <c r="W218" s="259">
        <v>51162</v>
      </c>
      <c r="X218" s="259"/>
      <c r="Y218" s="259"/>
      <c r="Z218" s="259"/>
      <c r="AA218" s="259"/>
      <c r="AB218" s="259"/>
      <c r="AC218" s="259"/>
      <c r="AD218" s="259"/>
      <c r="AE218" s="311">
        <f t="shared" si="17"/>
        <v>51162</v>
      </c>
      <c r="AG218" s="307">
        <f t="shared" si="0"/>
        <v>0</v>
      </c>
      <c r="AH218" s="307">
        <f>SUM(AE216:AE218)</f>
        <v>327905</v>
      </c>
    </row>
    <row r="219" spans="2:33" s="307" customFormat="1" ht="12.75">
      <c r="B219" s="274" t="s">
        <v>909</v>
      </c>
      <c r="C219" s="275" t="s">
        <v>903</v>
      </c>
      <c r="D219" s="275" t="s">
        <v>910</v>
      </c>
      <c r="E219" s="275" t="s">
        <v>745</v>
      </c>
      <c r="F219" s="274" t="s">
        <v>911</v>
      </c>
      <c r="G219" s="259"/>
      <c r="H219" s="259"/>
      <c r="I219" s="259">
        <v>-5000</v>
      </c>
      <c r="J219" s="259"/>
      <c r="K219" s="259"/>
      <c r="L219" s="259"/>
      <c r="M219" s="259"/>
      <c r="N219" s="259"/>
      <c r="O219" s="259"/>
      <c r="P219" s="259"/>
      <c r="Q219" s="259"/>
      <c r="R219" s="259"/>
      <c r="S219" s="259"/>
      <c r="T219" s="263">
        <f t="shared" si="16"/>
        <v>-5000</v>
      </c>
      <c r="U219" s="274"/>
      <c r="V219" s="259"/>
      <c r="W219" s="259"/>
      <c r="X219" s="259">
        <v>-5000</v>
      </c>
      <c r="Y219" s="259"/>
      <c r="Z219" s="259"/>
      <c r="AA219" s="259"/>
      <c r="AB219" s="259"/>
      <c r="AC219" s="259"/>
      <c r="AD219" s="259"/>
      <c r="AE219" s="311">
        <f t="shared" si="17"/>
        <v>-5000</v>
      </c>
      <c r="AG219" s="307">
        <f t="shared" si="0"/>
        <v>0</v>
      </c>
    </row>
    <row r="220" spans="2:33" s="307" customFormat="1" ht="12.75">
      <c r="B220" s="274" t="s">
        <v>912</v>
      </c>
      <c r="C220" s="275" t="s">
        <v>903</v>
      </c>
      <c r="D220" s="275" t="s">
        <v>910</v>
      </c>
      <c r="E220" s="275" t="s">
        <v>745</v>
      </c>
      <c r="F220" s="274" t="s">
        <v>911</v>
      </c>
      <c r="G220" s="259"/>
      <c r="H220" s="259"/>
      <c r="I220" s="259">
        <v>2621</v>
      </c>
      <c r="J220" s="259"/>
      <c r="K220" s="259"/>
      <c r="L220" s="259"/>
      <c r="M220" s="259"/>
      <c r="N220" s="259"/>
      <c r="O220" s="259"/>
      <c r="P220" s="259"/>
      <c r="Q220" s="259">
        <v>2379</v>
      </c>
      <c r="R220" s="259"/>
      <c r="S220" s="259"/>
      <c r="T220" s="263">
        <f t="shared" si="16"/>
        <v>5000</v>
      </c>
      <c r="U220" s="274"/>
      <c r="V220" s="259"/>
      <c r="W220" s="259"/>
      <c r="X220" s="259">
        <v>5000</v>
      </c>
      <c r="Y220" s="259"/>
      <c r="Z220" s="259"/>
      <c r="AA220" s="259"/>
      <c r="AB220" s="259"/>
      <c r="AC220" s="259"/>
      <c r="AD220" s="259"/>
      <c r="AE220" s="311">
        <f t="shared" si="17"/>
        <v>5000</v>
      </c>
      <c r="AG220" s="307">
        <f t="shared" si="0"/>
        <v>0</v>
      </c>
    </row>
    <row r="221" spans="2:33" s="307" customFormat="1" ht="12.75">
      <c r="B221" s="274" t="s">
        <v>913</v>
      </c>
      <c r="C221" s="275" t="s">
        <v>914</v>
      </c>
      <c r="D221" s="275"/>
      <c r="E221" s="275" t="s">
        <v>745</v>
      </c>
      <c r="F221" s="274" t="s">
        <v>915</v>
      </c>
      <c r="G221" s="259"/>
      <c r="H221" s="259"/>
      <c r="I221" s="259"/>
      <c r="J221" s="259"/>
      <c r="K221" s="259"/>
      <c r="L221" s="259"/>
      <c r="M221" s="259"/>
      <c r="N221" s="259"/>
      <c r="O221" s="259"/>
      <c r="P221" s="259"/>
      <c r="Q221" s="259"/>
      <c r="R221" s="259"/>
      <c r="S221" s="259">
        <v>23000</v>
      </c>
      <c r="T221" s="263">
        <f t="shared" si="16"/>
        <v>23000</v>
      </c>
      <c r="U221" s="274"/>
      <c r="V221" s="259"/>
      <c r="W221" s="259"/>
      <c r="X221" s="259"/>
      <c r="Y221" s="259"/>
      <c r="Z221" s="259"/>
      <c r="AA221" s="259"/>
      <c r="AB221" s="259"/>
      <c r="AC221" s="259"/>
      <c r="AD221" s="259">
        <v>23000</v>
      </c>
      <c r="AE221" s="311">
        <f t="shared" si="17"/>
        <v>23000</v>
      </c>
      <c r="AG221" s="307">
        <f t="shared" si="0"/>
        <v>0</v>
      </c>
    </row>
    <row r="222" spans="2:33" s="307" customFormat="1" ht="12.75">
      <c r="B222" s="274" t="s">
        <v>916</v>
      </c>
      <c r="C222" s="275" t="s">
        <v>914</v>
      </c>
      <c r="D222" s="275" t="s">
        <v>917</v>
      </c>
      <c r="E222" s="275" t="s">
        <v>745</v>
      </c>
      <c r="F222" s="302" t="s">
        <v>918</v>
      </c>
      <c r="G222" s="259">
        <v>3200</v>
      </c>
      <c r="H222" s="259">
        <v>1024</v>
      </c>
      <c r="I222" s="259">
        <v>67103</v>
      </c>
      <c r="J222" s="259"/>
      <c r="K222" s="259"/>
      <c r="L222" s="259"/>
      <c r="M222" s="259"/>
      <c r="N222" s="259"/>
      <c r="O222" s="259"/>
      <c r="P222" s="259"/>
      <c r="Q222" s="259">
        <v>5000</v>
      </c>
      <c r="R222" s="259"/>
      <c r="S222" s="259"/>
      <c r="T222" s="263">
        <f t="shared" si="16"/>
        <v>76327</v>
      </c>
      <c r="U222" s="274"/>
      <c r="V222" s="259"/>
      <c r="W222" s="278">
        <v>76327</v>
      </c>
      <c r="X222" s="259"/>
      <c r="Y222" s="259"/>
      <c r="Z222" s="259"/>
      <c r="AA222" s="259"/>
      <c r="AB222" s="259"/>
      <c r="AC222" s="259"/>
      <c r="AD222" s="259"/>
      <c r="AE222" s="311">
        <f t="shared" si="17"/>
        <v>76327</v>
      </c>
      <c r="AG222" s="307">
        <f t="shared" si="0"/>
        <v>0</v>
      </c>
    </row>
    <row r="223" spans="2:34" s="307" customFormat="1" ht="12.75">
      <c r="B223" s="274"/>
      <c r="C223" s="275"/>
      <c r="D223" s="275" t="s">
        <v>618</v>
      </c>
      <c r="E223" s="275" t="s">
        <v>745</v>
      </c>
      <c r="F223" s="284" t="s">
        <v>889</v>
      </c>
      <c r="G223" s="259"/>
      <c r="H223" s="259"/>
      <c r="I223" s="259">
        <v>2894</v>
      </c>
      <c r="J223" s="259"/>
      <c r="K223" s="259"/>
      <c r="L223" s="259"/>
      <c r="M223" s="259"/>
      <c r="N223" s="259"/>
      <c r="O223" s="259"/>
      <c r="P223" s="259"/>
      <c r="Q223" s="259"/>
      <c r="R223" s="259"/>
      <c r="S223" s="259"/>
      <c r="T223" s="263">
        <f t="shared" si="16"/>
        <v>2894</v>
      </c>
      <c r="U223" s="274"/>
      <c r="V223" s="259"/>
      <c r="W223" s="259">
        <v>2894</v>
      </c>
      <c r="X223" s="259"/>
      <c r="Y223" s="259"/>
      <c r="Z223" s="259"/>
      <c r="AA223" s="259"/>
      <c r="AB223" s="259"/>
      <c r="AC223" s="259"/>
      <c r="AD223" s="259"/>
      <c r="AE223" s="311">
        <f t="shared" si="17"/>
        <v>2894</v>
      </c>
      <c r="AG223" s="307">
        <f t="shared" si="0"/>
        <v>0</v>
      </c>
      <c r="AH223" s="307">
        <f>SUM(AE222:AE223)</f>
        <v>79221</v>
      </c>
    </row>
    <row r="224" spans="2:33" s="307" customFormat="1" ht="12.75">
      <c r="B224" s="274" t="s">
        <v>919</v>
      </c>
      <c r="C224" s="275" t="s">
        <v>920</v>
      </c>
      <c r="D224" s="275" t="s">
        <v>813</v>
      </c>
      <c r="E224" s="275" t="s">
        <v>745</v>
      </c>
      <c r="F224" s="277" t="s">
        <v>814</v>
      </c>
      <c r="G224" s="259"/>
      <c r="H224" s="259"/>
      <c r="I224" s="259">
        <v>641</v>
      </c>
      <c r="J224" s="259"/>
      <c r="K224" s="259"/>
      <c r="L224" s="259"/>
      <c r="M224" s="259"/>
      <c r="N224" s="259"/>
      <c r="O224" s="259"/>
      <c r="P224" s="259"/>
      <c r="Q224" s="259"/>
      <c r="R224" s="259"/>
      <c r="S224" s="259"/>
      <c r="T224" s="263">
        <f t="shared" si="16"/>
        <v>641</v>
      </c>
      <c r="U224" s="274"/>
      <c r="V224" s="259">
        <v>641</v>
      </c>
      <c r="W224" s="259"/>
      <c r="X224" s="259"/>
      <c r="Y224" s="259"/>
      <c r="Z224" s="259"/>
      <c r="AA224" s="259"/>
      <c r="AB224" s="259"/>
      <c r="AC224" s="259"/>
      <c r="AD224" s="259"/>
      <c r="AE224" s="311">
        <f t="shared" si="17"/>
        <v>641</v>
      </c>
      <c r="AG224" s="307">
        <f t="shared" si="0"/>
        <v>0</v>
      </c>
    </row>
    <row r="225" spans="2:33" s="307" customFormat="1" ht="12.75">
      <c r="B225" s="274"/>
      <c r="C225" s="275"/>
      <c r="D225" s="275" t="s">
        <v>725</v>
      </c>
      <c r="E225" s="275" t="s">
        <v>745</v>
      </c>
      <c r="F225" s="277" t="s">
        <v>921</v>
      </c>
      <c r="G225" s="259"/>
      <c r="H225" s="259"/>
      <c r="I225" s="259">
        <v>750</v>
      </c>
      <c r="J225" s="259"/>
      <c r="K225" s="259"/>
      <c r="L225" s="259"/>
      <c r="M225" s="259"/>
      <c r="N225" s="259"/>
      <c r="O225" s="259"/>
      <c r="P225" s="259"/>
      <c r="Q225" s="259"/>
      <c r="R225" s="259"/>
      <c r="S225" s="259"/>
      <c r="T225" s="263">
        <f t="shared" si="16"/>
        <v>750</v>
      </c>
      <c r="U225" s="274"/>
      <c r="V225" s="259"/>
      <c r="W225" s="259">
        <v>750</v>
      </c>
      <c r="X225" s="259"/>
      <c r="Y225" s="259"/>
      <c r="Z225" s="259"/>
      <c r="AA225" s="259"/>
      <c r="AB225" s="259"/>
      <c r="AC225" s="259"/>
      <c r="AD225" s="259"/>
      <c r="AE225" s="311">
        <f t="shared" si="17"/>
        <v>750</v>
      </c>
      <c r="AG225" s="307">
        <f t="shared" si="0"/>
        <v>0</v>
      </c>
    </row>
    <row r="226" spans="2:33" s="307" customFormat="1" ht="12.75">
      <c r="B226" s="274"/>
      <c r="C226" s="275"/>
      <c r="D226" s="275" t="s">
        <v>922</v>
      </c>
      <c r="E226" s="275" t="s">
        <v>745</v>
      </c>
      <c r="F226" s="277" t="s">
        <v>923</v>
      </c>
      <c r="G226" s="259">
        <v>151</v>
      </c>
      <c r="H226" s="259">
        <v>41</v>
      </c>
      <c r="I226" s="259">
        <v>846</v>
      </c>
      <c r="J226" s="259"/>
      <c r="K226" s="259"/>
      <c r="L226" s="259"/>
      <c r="M226" s="259"/>
      <c r="N226" s="259"/>
      <c r="O226" s="259"/>
      <c r="P226" s="259"/>
      <c r="Q226" s="259"/>
      <c r="R226" s="259"/>
      <c r="S226" s="259"/>
      <c r="T226" s="263">
        <f t="shared" si="16"/>
        <v>1038</v>
      </c>
      <c r="U226" s="274"/>
      <c r="V226" s="259">
        <v>1038</v>
      </c>
      <c r="W226" s="259"/>
      <c r="X226" s="259"/>
      <c r="Y226" s="259"/>
      <c r="Z226" s="259"/>
      <c r="AA226" s="259"/>
      <c r="AB226" s="259"/>
      <c r="AC226" s="259"/>
      <c r="AD226" s="259"/>
      <c r="AE226" s="311">
        <f t="shared" si="17"/>
        <v>1038</v>
      </c>
      <c r="AG226" s="307">
        <f t="shared" si="0"/>
        <v>0</v>
      </c>
    </row>
    <row r="227" spans="2:33" s="307" customFormat="1" ht="12.75">
      <c r="B227" s="274"/>
      <c r="C227" s="275"/>
      <c r="D227" s="275" t="s">
        <v>924</v>
      </c>
      <c r="E227" s="275" t="s">
        <v>745</v>
      </c>
      <c r="F227" s="277" t="s">
        <v>925</v>
      </c>
      <c r="G227" s="259"/>
      <c r="H227" s="259"/>
      <c r="I227" s="259">
        <v>740</v>
      </c>
      <c r="J227" s="259"/>
      <c r="K227" s="259"/>
      <c r="L227" s="259"/>
      <c r="M227" s="259"/>
      <c r="N227" s="259"/>
      <c r="O227" s="259"/>
      <c r="P227" s="259"/>
      <c r="Q227" s="259"/>
      <c r="R227" s="259"/>
      <c r="S227" s="259"/>
      <c r="T227" s="263">
        <f t="shared" si="16"/>
        <v>740</v>
      </c>
      <c r="U227" s="274"/>
      <c r="V227" s="259"/>
      <c r="W227" s="259">
        <v>740</v>
      </c>
      <c r="X227" s="259"/>
      <c r="Y227" s="259"/>
      <c r="Z227" s="259"/>
      <c r="AA227" s="259"/>
      <c r="AB227" s="259"/>
      <c r="AC227" s="259"/>
      <c r="AD227" s="259"/>
      <c r="AE227" s="311">
        <f t="shared" si="17"/>
        <v>740</v>
      </c>
      <c r="AG227" s="307">
        <f t="shared" si="0"/>
        <v>0</v>
      </c>
    </row>
    <row r="228" spans="2:33" s="307" customFormat="1" ht="12.75">
      <c r="B228" s="274"/>
      <c r="C228" s="275"/>
      <c r="D228" s="275" t="s">
        <v>926</v>
      </c>
      <c r="E228" s="275" t="s">
        <v>745</v>
      </c>
      <c r="F228" s="277" t="s">
        <v>927</v>
      </c>
      <c r="G228" s="259">
        <v>800</v>
      </c>
      <c r="H228" s="259">
        <v>216</v>
      </c>
      <c r="I228" s="259">
        <v>234</v>
      </c>
      <c r="J228" s="259"/>
      <c r="K228" s="259"/>
      <c r="L228" s="259"/>
      <c r="M228" s="259"/>
      <c r="N228" s="259"/>
      <c r="O228" s="259"/>
      <c r="P228" s="259"/>
      <c r="Q228" s="259"/>
      <c r="R228" s="259"/>
      <c r="S228" s="259"/>
      <c r="T228" s="263">
        <f t="shared" si="16"/>
        <v>1250</v>
      </c>
      <c r="U228" s="274"/>
      <c r="V228" s="259">
        <v>1250</v>
      </c>
      <c r="W228" s="259"/>
      <c r="X228" s="259"/>
      <c r="Y228" s="259"/>
      <c r="Z228" s="259"/>
      <c r="AA228" s="259"/>
      <c r="AB228" s="259"/>
      <c r="AC228" s="259"/>
      <c r="AD228" s="259"/>
      <c r="AE228" s="311">
        <f t="shared" si="17"/>
        <v>1250</v>
      </c>
      <c r="AG228" s="307">
        <f t="shared" si="0"/>
        <v>0</v>
      </c>
    </row>
    <row r="229" spans="2:33" s="307" customFormat="1" ht="12.75">
      <c r="B229" s="274"/>
      <c r="C229" s="275"/>
      <c r="D229" s="275"/>
      <c r="E229" s="275" t="s">
        <v>745</v>
      </c>
      <c r="F229" s="277" t="s">
        <v>928</v>
      </c>
      <c r="G229" s="259"/>
      <c r="H229" s="259"/>
      <c r="I229" s="259"/>
      <c r="J229" s="259"/>
      <c r="K229" s="259"/>
      <c r="L229" s="259"/>
      <c r="M229" s="259"/>
      <c r="N229" s="259"/>
      <c r="O229" s="259"/>
      <c r="P229" s="259">
        <v>120</v>
      </c>
      <c r="Q229" s="259"/>
      <c r="R229" s="259"/>
      <c r="S229" s="259"/>
      <c r="T229" s="263">
        <f t="shared" si="16"/>
        <v>120</v>
      </c>
      <c r="U229" s="274"/>
      <c r="V229" s="259"/>
      <c r="W229" s="259">
        <v>120</v>
      </c>
      <c r="X229" s="259"/>
      <c r="Y229" s="259"/>
      <c r="Z229" s="259"/>
      <c r="AA229" s="259"/>
      <c r="AB229" s="259"/>
      <c r="AC229" s="259"/>
      <c r="AD229" s="259"/>
      <c r="AE229" s="311">
        <f t="shared" si="17"/>
        <v>120</v>
      </c>
      <c r="AG229" s="307">
        <f t="shared" si="0"/>
        <v>0</v>
      </c>
    </row>
    <row r="230" spans="2:34" s="307" customFormat="1" ht="12.75">
      <c r="B230" s="274"/>
      <c r="C230" s="275"/>
      <c r="D230" s="275" t="s">
        <v>629</v>
      </c>
      <c r="E230" s="275" t="s">
        <v>745</v>
      </c>
      <c r="F230" s="277" t="s">
        <v>929</v>
      </c>
      <c r="G230" s="259">
        <v>8899</v>
      </c>
      <c r="H230" s="259">
        <v>2715</v>
      </c>
      <c r="I230" s="259"/>
      <c r="J230" s="259"/>
      <c r="K230" s="259"/>
      <c r="L230" s="259"/>
      <c r="M230" s="259"/>
      <c r="N230" s="259"/>
      <c r="O230" s="259"/>
      <c r="P230" s="259"/>
      <c r="Q230" s="259"/>
      <c r="R230" s="259"/>
      <c r="S230" s="259"/>
      <c r="T230" s="263">
        <f t="shared" si="16"/>
        <v>11614</v>
      </c>
      <c r="U230" s="274"/>
      <c r="V230" s="259"/>
      <c r="W230" s="259">
        <v>11614</v>
      </c>
      <c r="X230" s="259"/>
      <c r="Y230" s="259"/>
      <c r="Z230" s="259"/>
      <c r="AA230" s="259"/>
      <c r="AB230" s="259"/>
      <c r="AC230" s="259"/>
      <c r="AD230" s="259"/>
      <c r="AE230" s="311">
        <f t="shared" si="17"/>
        <v>11614</v>
      </c>
      <c r="AG230" s="307">
        <f t="shared" si="0"/>
        <v>0</v>
      </c>
      <c r="AH230" s="307">
        <f>SUM(AE224:AE230)</f>
        <v>16153</v>
      </c>
    </row>
    <row r="231" spans="2:33" s="307" customFormat="1" ht="12.75">
      <c r="B231" s="274" t="s">
        <v>930</v>
      </c>
      <c r="C231" s="275" t="s">
        <v>931</v>
      </c>
      <c r="D231" s="275" t="s">
        <v>690</v>
      </c>
      <c r="E231" s="275" t="s">
        <v>745</v>
      </c>
      <c r="F231" s="302" t="s">
        <v>932</v>
      </c>
      <c r="G231" s="259"/>
      <c r="H231" s="259"/>
      <c r="I231" s="259">
        <v>63957</v>
      </c>
      <c r="J231" s="259"/>
      <c r="K231" s="259">
        <v>14911</v>
      </c>
      <c r="L231" s="259"/>
      <c r="M231" s="259"/>
      <c r="N231" s="259"/>
      <c r="O231" s="259"/>
      <c r="P231" s="259"/>
      <c r="Q231" s="259"/>
      <c r="R231" s="259"/>
      <c r="S231" s="259"/>
      <c r="T231" s="263">
        <f t="shared" si="16"/>
        <v>78868</v>
      </c>
      <c r="U231" s="274"/>
      <c r="V231" s="259"/>
      <c r="W231" s="278">
        <v>78868</v>
      </c>
      <c r="X231" s="259"/>
      <c r="Y231" s="259"/>
      <c r="Z231" s="259"/>
      <c r="AA231" s="259"/>
      <c r="AB231" s="259"/>
      <c r="AC231" s="259"/>
      <c r="AD231" s="259"/>
      <c r="AE231" s="311">
        <f t="shared" si="17"/>
        <v>78868</v>
      </c>
      <c r="AG231" s="307">
        <f t="shared" si="0"/>
        <v>0</v>
      </c>
    </row>
    <row r="232" spans="2:33" s="307" customFormat="1" ht="12.75">
      <c r="B232" s="274" t="s">
        <v>933</v>
      </c>
      <c r="C232" s="275" t="s">
        <v>931</v>
      </c>
      <c r="D232" s="275"/>
      <c r="E232" s="275" t="s">
        <v>745</v>
      </c>
      <c r="F232" s="277" t="s">
        <v>934</v>
      </c>
      <c r="G232" s="259"/>
      <c r="H232" s="259"/>
      <c r="I232" s="259">
        <v>-16800</v>
      </c>
      <c r="J232" s="259"/>
      <c r="K232" s="259"/>
      <c r="L232" s="259"/>
      <c r="M232" s="259"/>
      <c r="N232" s="259"/>
      <c r="O232" s="259"/>
      <c r="P232" s="259"/>
      <c r="Q232" s="259"/>
      <c r="R232" s="259"/>
      <c r="S232" s="259"/>
      <c r="T232" s="263">
        <f t="shared" si="16"/>
        <v>-16800</v>
      </c>
      <c r="U232" s="274"/>
      <c r="V232" s="259"/>
      <c r="W232" s="259">
        <v>-16800</v>
      </c>
      <c r="X232" s="259"/>
      <c r="Y232" s="259"/>
      <c r="Z232" s="259"/>
      <c r="AA232" s="259"/>
      <c r="AB232" s="259"/>
      <c r="AC232" s="259"/>
      <c r="AD232" s="259"/>
      <c r="AE232" s="311">
        <f t="shared" si="17"/>
        <v>-16800</v>
      </c>
      <c r="AG232" s="307">
        <f t="shared" si="0"/>
        <v>0</v>
      </c>
    </row>
    <row r="233" spans="2:34" s="307" customFormat="1" ht="12.75">
      <c r="B233" s="274"/>
      <c r="C233" s="275"/>
      <c r="D233" s="275"/>
      <c r="E233" s="275" t="s">
        <v>745</v>
      </c>
      <c r="F233" s="277" t="s">
        <v>935</v>
      </c>
      <c r="G233" s="259"/>
      <c r="H233" s="259"/>
      <c r="I233" s="259">
        <v>-305000</v>
      </c>
      <c r="J233" s="259"/>
      <c r="K233" s="259"/>
      <c r="L233" s="259"/>
      <c r="M233" s="259"/>
      <c r="N233" s="259"/>
      <c r="O233" s="259"/>
      <c r="P233" s="259"/>
      <c r="Q233" s="259"/>
      <c r="R233" s="259"/>
      <c r="S233" s="259"/>
      <c r="T233" s="263">
        <f t="shared" si="16"/>
        <v>-305000</v>
      </c>
      <c r="U233" s="274"/>
      <c r="V233" s="259"/>
      <c r="W233" s="259">
        <v>-305000</v>
      </c>
      <c r="X233" s="259"/>
      <c r="Y233" s="259"/>
      <c r="Z233" s="259"/>
      <c r="AA233" s="259"/>
      <c r="AB233" s="259"/>
      <c r="AC233" s="259"/>
      <c r="AD233" s="259"/>
      <c r="AE233" s="311">
        <f t="shared" si="17"/>
        <v>-305000</v>
      </c>
      <c r="AG233" s="307">
        <f t="shared" si="0"/>
        <v>0</v>
      </c>
      <c r="AH233" s="307">
        <f>SUM(AE232:AE233)</f>
        <v>-321800</v>
      </c>
    </row>
    <row r="234" spans="2:33" s="307" customFormat="1" ht="12.75">
      <c r="B234" s="274" t="s">
        <v>936</v>
      </c>
      <c r="C234" s="275" t="s">
        <v>931</v>
      </c>
      <c r="D234" s="275"/>
      <c r="E234" s="275" t="s">
        <v>745</v>
      </c>
      <c r="F234" s="277" t="s">
        <v>934</v>
      </c>
      <c r="G234" s="259"/>
      <c r="H234" s="259"/>
      <c r="I234" s="259"/>
      <c r="J234" s="259"/>
      <c r="K234" s="259">
        <v>16800</v>
      </c>
      <c r="L234" s="259"/>
      <c r="M234" s="259"/>
      <c r="N234" s="259"/>
      <c r="O234" s="259"/>
      <c r="P234" s="259"/>
      <c r="Q234" s="259"/>
      <c r="R234" s="259"/>
      <c r="S234" s="259"/>
      <c r="T234" s="263">
        <f t="shared" si="16"/>
        <v>16800</v>
      </c>
      <c r="U234" s="274"/>
      <c r="V234" s="259"/>
      <c r="W234" s="259">
        <f>-W232</f>
        <v>16800</v>
      </c>
      <c r="X234" s="259"/>
      <c r="Y234" s="259"/>
      <c r="Z234" s="259"/>
      <c r="AA234" s="259"/>
      <c r="AB234" s="259"/>
      <c r="AC234" s="259"/>
      <c r="AD234" s="259"/>
      <c r="AE234" s="311">
        <f t="shared" si="17"/>
        <v>16800</v>
      </c>
      <c r="AG234" s="307">
        <f t="shared" si="0"/>
        <v>0</v>
      </c>
    </row>
    <row r="235" spans="2:33" s="307" customFormat="1" ht="12.75">
      <c r="B235" s="274"/>
      <c r="C235" s="275"/>
      <c r="D235" s="275"/>
      <c r="E235" s="275" t="s">
        <v>745</v>
      </c>
      <c r="F235" s="277" t="s">
        <v>935</v>
      </c>
      <c r="G235" s="259">
        <v>255000</v>
      </c>
      <c r="H235" s="259">
        <v>50000</v>
      </c>
      <c r="I235" s="259"/>
      <c r="J235" s="259"/>
      <c r="K235" s="259"/>
      <c r="L235" s="259"/>
      <c r="M235" s="259"/>
      <c r="N235" s="259"/>
      <c r="O235" s="259"/>
      <c r="P235" s="259"/>
      <c r="Q235" s="259"/>
      <c r="R235" s="259"/>
      <c r="S235" s="259"/>
      <c r="T235" s="263">
        <f t="shared" si="16"/>
        <v>305000</v>
      </c>
      <c r="U235" s="274"/>
      <c r="V235" s="259"/>
      <c r="W235" s="259">
        <f>-W233</f>
        <v>305000</v>
      </c>
      <c r="X235" s="259"/>
      <c r="Y235" s="259"/>
      <c r="Z235" s="259"/>
      <c r="AA235" s="259"/>
      <c r="AB235" s="259"/>
      <c r="AC235" s="259"/>
      <c r="AD235" s="259"/>
      <c r="AE235" s="311">
        <f t="shared" si="17"/>
        <v>305000</v>
      </c>
      <c r="AG235" s="307">
        <f t="shared" si="0"/>
        <v>0</v>
      </c>
    </row>
    <row r="236" spans="2:33" s="307" customFormat="1" ht="12.75">
      <c r="B236" s="274"/>
      <c r="C236" s="275"/>
      <c r="D236" s="275"/>
      <c r="E236" s="275" t="s">
        <v>745</v>
      </c>
      <c r="F236" s="277" t="s">
        <v>937</v>
      </c>
      <c r="G236" s="259"/>
      <c r="H236" s="259"/>
      <c r="I236" s="259"/>
      <c r="J236" s="259"/>
      <c r="K236" s="259"/>
      <c r="L236" s="259"/>
      <c r="M236" s="259"/>
      <c r="N236" s="259"/>
      <c r="O236" s="259"/>
      <c r="P236" s="259"/>
      <c r="Q236" s="259"/>
      <c r="R236" s="259"/>
      <c r="S236" s="259"/>
      <c r="T236" s="263">
        <f t="shared" si="16"/>
        <v>0</v>
      </c>
      <c r="U236" s="274"/>
      <c r="V236" s="259">
        <v>40</v>
      </c>
      <c r="W236" s="259">
        <v>-40</v>
      </c>
      <c r="X236" s="259"/>
      <c r="Y236" s="259"/>
      <c r="Z236" s="259"/>
      <c r="AA236" s="259"/>
      <c r="AB236" s="259"/>
      <c r="AC236" s="259"/>
      <c r="AD236" s="259"/>
      <c r="AE236" s="311">
        <f t="shared" si="17"/>
        <v>0</v>
      </c>
      <c r="AG236" s="307">
        <f t="shared" si="0"/>
        <v>0</v>
      </c>
    </row>
    <row r="237" spans="2:33" s="307" customFormat="1" ht="12.75">
      <c r="B237" s="274" t="s">
        <v>938</v>
      </c>
      <c r="C237" s="275" t="s">
        <v>931</v>
      </c>
      <c r="D237" s="275" t="s">
        <v>939</v>
      </c>
      <c r="E237" s="275" t="s">
        <v>585</v>
      </c>
      <c r="F237" s="277" t="s">
        <v>940</v>
      </c>
      <c r="G237" s="259">
        <v>4093</v>
      </c>
      <c r="H237" s="259">
        <v>1105</v>
      </c>
      <c r="I237" s="259"/>
      <c r="J237" s="259"/>
      <c r="K237" s="259"/>
      <c r="L237" s="259"/>
      <c r="M237" s="259"/>
      <c r="N237" s="259"/>
      <c r="O237" s="259"/>
      <c r="P237" s="259"/>
      <c r="Q237" s="259"/>
      <c r="R237" s="259"/>
      <c r="S237" s="259"/>
      <c r="T237" s="263">
        <f t="shared" si="16"/>
        <v>5198</v>
      </c>
      <c r="U237" s="274"/>
      <c r="V237" s="259"/>
      <c r="W237" s="259"/>
      <c r="X237" s="259"/>
      <c r="Y237" s="259"/>
      <c r="Z237" s="259"/>
      <c r="AA237" s="259"/>
      <c r="AB237" s="259">
        <v>5198</v>
      </c>
      <c r="AC237" s="259"/>
      <c r="AD237" s="259"/>
      <c r="AE237" s="311">
        <f t="shared" si="17"/>
        <v>5198</v>
      </c>
      <c r="AG237" s="307">
        <f t="shared" si="0"/>
        <v>0</v>
      </c>
    </row>
    <row r="238" spans="2:33" s="307" customFormat="1" ht="12.75">
      <c r="B238" s="274" t="s">
        <v>941</v>
      </c>
      <c r="C238" s="275" t="s">
        <v>931</v>
      </c>
      <c r="D238" s="275" t="s">
        <v>656</v>
      </c>
      <c r="E238" s="275" t="s">
        <v>590</v>
      </c>
      <c r="F238" s="277" t="s">
        <v>942</v>
      </c>
      <c r="G238" s="259">
        <v>412</v>
      </c>
      <c r="H238" s="259"/>
      <c r="I238" s="259"/>
      <c r="J238" s="259"/>
      <c r="K238" s="259"/>
      <c r="L238" s="259"/>
      <c r="M238" s="259"/>
      <c r="N238" s="259"/>
      <c r="O238" s="259"/>
      <c r="P238" s="259"/>
      <c r="Q238" s="259"/>
      <c r="R238" s="259"/>
      <c r="S238" s="259"/>
      <c r="T238" s="263">
        <f t="shared" si="16"/>
        <v>412</v>
      </c>
      <c r="U238" s="274"/>
      <c r="V238" s="259"/>
      <c r="W238" s="259"/>
      <c r="X238" s="259"/>
      <c r="Y238" s="259"/>
      <c r="Z238" s="259"/>
      <c r="AA238" s="259"/>
      <c r="AB238" s="259">
        <v>412</v>
      </c>
      <c r="AC238" s="259"/>
      <c r="AD238" s="259"/>
      <c r="AE238" s="311">
        <f t="shared" si="17"/>
        <v>412</v>
      </c>
      <c r="AG238" s="307">
        <f t="shared" si="0"/>
        <v>0</v>
      </c>
    </row>
    <row r="239" spans="2:33" s="307" customFormat="1" ht="12.75">
      <c r="B239" s="274" t="s">
        <v>943</v>
      </c>
      <c r="C239" s="275" t="s">
        <v>931</v>
      </c>
      <c r="D239" s="275" t="s">
        <v>944</v>
      </c>
      <c r="E239" s="275" t="s">
        <v>585</v>
      </c>
      <c r="F239" s="277" t="s">
        <v>896</v>
      </c>
      <c r="G239" s="259"/>
      <c r="H239" s="259"/>
      <c r="I239" s="259">
        <v>26000</v>
      </c>
      <c r="J239" s="259"/>
      <c r="K239" s="259"/>
      <c r="L239" s="259"/>
      <c r="M239" s="259"/>
      <c r="N239" s="259"/>
      <c r="O239" s="259"/>
      <c r="P239" s="259"/>
      <c r="Q239" s="259"/>
      <c r="R239" s="259"/>
      <c r="S239" s="259"/>
      <c r="T239" s="263">
        <f t="shared" si="16"/>
        <v>26000</v>
      </c>
      <c r="U239" s="274"/>
      <c r="V239" s="259"/>
      <c r="W239" s="259"/>
      <c r="X239" s="259"/>
      <c r="Y239" s="259"/>
      <c r="Z239" s="259"/>
      <c r="AA239" s="259"/>
      <c r="AB239" s="259">
        <v>26000</v>
      </c>
      <c r="AC239" s="259"/>
      <c r="AD239" s="259"/>
      <c r="AE239" s="311">
        <f t="shared" si="17"/>
        <v>26000</v>
      </c>
      <c r="AG239" s="307">
        <f t="shared" si="0"/>
        <v>0</v>
      </c>
    </row>
    <row r="240" spans="2:33" s="307" customFormat="1" ht="12.75">
      <c r="B240" s="274" t="s">
        <v>945</v>
      </c>
      <c r="C240" s="275" t="s">
        <v>931</v>
      </c>
      <c r="D240" s="275" t="s">
        <v>946</v>
      </c>
      <c r="E240" s="275" t="s">
        <v>590</v>
      </c>
      <c r="F240" s="277" t="s">
        <v>947</v>
      </c>
      <c r="G240" s="259">
        <v>29125</v>
      </c>
      <c r="H240" s="259">
        <v>7703</v>
      </c>
      <c r="I240" s="259">
        <v>98</v>
      </c>
      <c r="J240" s="259"/>
      <c r="K240" s="259"/>
      <c r="L240" s="259"/>
      <c r="M240" s="259"/>
      <c r="N240" s="259"/>
      <c r="O240" s="259"/>
      <c r="P240" s="259"/>
      <c r="Q240" s="259"/>
      <c r="R240" s="259"/>
      <c r="S240" s="259"/>
      <c r="T240" s="263">
        <f t="shared" si="16"/>
        <v>36926</v>
      </c>
      <c r="U240" s="274"/>
      <c r="V240" s="259"/>
      <c r="W240" s="259"/>
      <c r="X240" s="259"/>
      <c r="Y240" s="259"/>
      <c r="Z240" s="259"/>
      <c r="AA240" s="259"/>
      <c r="AB240" s="259">
        <v>36926</v>
      </c>
      <c r="AC240" s="259"/>
      <c r="AD240" s="259"/>
      <c r="AE240" s="311">
        <f t="shared" si="17"/>
        <v>36926</v>
      </c>
      <c r="AG240" s="307">
        <f t="shared" si="0"/>
        <v>0</v>
      </c>
    </row>
    <row r="241" spans="2:33" s="307" customFormat="1" ht="12.75">
      <c r="B241" s="274"/>
      <c r="C241" s="275" t="s">
        <v>931</v>
      </c>
      <c r="D241" s="275" t="s">
        <v>948</v>
      </c>
      <c r="E241" s="275" t="s">
        <v>585</v>
      </c>
      <c r="F241" s="277" t="s">
        <v>949</v>
      </c>
      <c r="G241" s="259"/>
      <c r="H241" s="259"/>
      <c r="I241" s="259">
        <v>2700</v>
      </c>
      <c r="J241" s="259"/>
      <c r="K241" s="259"/>
      <c r="L241" s="259"/>
      <c r="M241" s="259"/>
      <c r="N241" s="259"/>
      <c r="O241" s="259"/>
      <c r="P241" s="259"/>
      <c r="Q241" s="259"/>
      <c r="R241" s="259"/>
      <c r="S241" s="259"/>
      <c r="T241" s="263">
        <f t="shared" si="16"/>
        <v>2700</v>
      </c>
      <c r="U241" s="274"/>
      <c r="V241" s="259"/>
      <c r="W241" s="259"/>
      <c r="X241" s="259"/>
      <c r="Y241" s="259"/>
      <c r="Z241" s="259"/>
      <c r="AA241" s="259"/>
      <c r="AB241" s="259">
        <v>2700</v>
      </c>
      <c r="AC241" s="259"/>
      <c r="AD241" s="259"/>
      <c r="AE241" s="311">
        <f t="shared" si="17"/>
        <v>2700</v>
      </c>
      <c r="AG241" s="307">
        <f t="shared" si="0"/>
        <v>0</v>
      </c>
    </row>
    <row r="242" spans="2:33" s="307" customFormat="1" ht="12.75">
      <c r="B242" s="274" t="s">
        <v>950</v>
      </c>
      <c r="C242" s="275" t="s">
        <v>951</v>
      </c>
      <c r="D242" s="275"/>
      <c r="E242" s="275" t="s">
        <v>745</v>
      </c>
      <c r="F242" s="277" t="s">
        <v>952</v>
      </c>
      <c r="G242" s="259"/>
      <c r="H242" s="259"/>
      <c r="I242" s="259">
        <v>10849</v>
      </c>
      <c r="J242" s="259"/>
      <c r="K242" s="259"/>
      <c r="L242" s="259"/>
      <c r="M242" s="259"/>
      <c r="N242" s="259"/>
      <c r="O242" s="259"/>
      <c r="P242" s="259">
        <v>5687</v>
      </c>
      <c r="Q242" s="259">
        <v>45852</v>
      </c>
      <c r="R242" s="259"/>
      <c r="S242" s="259"/>
      <c r="T242" s="263">
        <f t="shared" si="16"/>
        <v>62388</v>
      </c>
      <c r="U242" s="274"/>
      <c r="V242" s="259">
        <v>20000</v>
      </c>
      <c r="W242" s="259">
        <v>42388</v>
      </c>
      <c r="X242" s="259"/>
      <c r="Y242" s="259"/>
      <c r="Z242" s="259"/>
      <c r="AA242" s="259"/>
      <c r="AB242" s="259"/>
      <c r="AC242" s="259"/>
      <c r="AD242" s="259"/>
      <c r="AE242" s="311">
        <f t="shared" si="17"/>
        <v>62388</v>
      </c>
      <c r="AG242" s="307">
        <f t="shared" si="0"/>
        <v>0</v>
      </c>
    </row>
    <row r="243" spans="2:33" s="307" customFormat="1" ht="12.75">
      <c r="B243" s="274"/>
      <c r="C243" s="275"/>
      <c r="D243" s="275" t="s">
        <v>753</v>
      </c>
      <c r="E243" s="275" t="s">
        <v>745</v>
      </c>
      <c r="F243" s="277" t="s">
        <v>953</v>
      </c>
      <c r="G243" s="259"/>
      <c r="H243" s="259"/>
      <c r="I243" s="259">
        <f>10851+27+2448+3141</f>
        <v>16467</v>
      </c>
      <c r="J243" s="259"/>
      <c r="K243" s="259">
        <v>31</v>
      </c>
      <c r="L243" s="259"/>
      <c r="M243" s="259"/>
      <c r="N243" s="259"/>
      <c r="O243" s="259"/>
      <c r="P243" s="259"/>
      <c r="Q243" s="259"/>
      <c r="R243" s="259"/>
      <c r="S243" s="259"/>
      <c r="T243" s="263">
        <f t="shared" si="16"/>
        <v>16498</v>
      </c>
      <c r="U243" s="274"/>
      <c r="V243" s="259">
        <v>3141</v>
      </c>
      <c r="W243" s="259">
        <f>10851+27+2479</f>
        <v>13357</v>
      </c>
      <c r="X243" s="259"/>
      <c r="Y243" s="259"/>
      <c r="Z243" s="259"/>
      <c r="AA243" s="259"/>
      <c r="AB243" s="259"/>
      <c r="AC243" s="259"/>
      <c r="AD243" s="259"/>
      <c r="AE243" s="311">
        <f t="shared" si="17"/>
        <v>16498</v>
      </c>
      <c r="AG243" s="307">
        <f t="shared" si="0"/>
        <v>0</v>
      </c>
    </row>
    <row r="244" spans="2:34" s="307" customFormat="1" ht="12.75">
      <c r="B244" s="274"/>
      <c r="C244" s="275"/>
      <c r="D244" s="275" t="s">
        <v>618</v>
      </c>
      <c r="E244" s="275" t="s">
        <v>745</v>
      </c>
      <c r="F244" s="284" t="s">
        <v>954</v>
      </c>
      <c r="G244" s="259"/>
      <c r="H244" s="259"/>
      <c r="I244" s="259">
        <v>329</v>
      </c>
      <c r="J244" s="259"/>
      <c r="K244" s="259"/>
      <c r="L244" s="259"/>
      <c r="M244" s="259"/>
      <c r="N244" s="259"/>
      <c r="O244" s="259"/>
      <c r="P244" s="259"/>
      <c r="Q244" s="259"/>
      <c r="R244" s="259"/>
      <c r="S244" s="259"/>
      <c r="T244" s="263">
        <f t="shared" si="16"/>
        <v>329</v>
      </c>
      <c r="U244" s="274"/>
      <c r="V244" s="259"/>
      <c r="W244" s="259">
        <v>329</v>
      </c>
      <c r="X244" s="259"/>
      <c r="Y244" s="259"/>
      <c r="Z244" s="259"/>
      <c r="AA244" s="259"/>
      <c r="AB244" s="259"/>
      <c r="AC244" s="259"/>
      <c r="AD244" s="259"/>
      <c r="AE244" s="311">
        <f t="shared" si="17"/>
        <v>329</v>
      </c>
      <c r="AG244" s="307">
        <f t="shared" si="0"/>
        <v>0</v>
      </c>
      <c r="AH244" s="307">
        <f>SUM(AE242:AE244)</f>
        <v>79215</v>
      </c>
    </row>
    <row r="245" spans="2:33" s="307" customFormat="1" ht="12.75">
      <c r="B245" s="274"/>
      <c r="C245" s="275" t="s">
        <v>951</v>
      </c>
      <c r="D245" s="275"/>
      <c r="E245" s="275" t="s">
        <v>585</v>
      </c>
      <c r="F245" s="274" t="s">
        <v>955</v>
      </c>
      <c r="G245" s="259"/>
      <c r="H245" s="259"/>
      <c r="I245" s="259"/>
      <c r="J245" s="259"/>
      <c r="K245" s="259"/>
      <c r="L245" s="259"/>
      <c r="M245" s="259">
        <v>1050000</v>
      </c>
      <c r="N245" s="259"/>
      <c r="O245" s="259"/>
      <c r="P245" s="259"/>
      <c r="Q245" s="259"/>
      <c r="R245" s="259"/>
      <c r="S245" s="259"/>
      <c r="T245" s="263">
        <f t="shared" si="16"/>
        <v>1050000</v>
      </c>
      <c r="U245" s="274"/>
      <c r="V245" s="259"/>
      <c r="W245" s="259">
        <v>1050000</v>
      </c>
      <c r="X245" s="259"/>
      <c r="Y245" s="259"/>
      <c r="Z245" s="259"/>
      <c r="AA245" s="259"/>
      <c r="AB245" s="259"/>
      <c r="AC245" s="259"/>
      <c r="AD245" s="259"/>
      <c r="AE245" s="311">
        <f t="shared" si="17"/>
        <v>1050000</v>
      </c>
      <c r="AG245" s="307">
        <f t="shared" si="0"/>
        <v>0</v>
      </c>
    </row>
    <row r="246" spans="1:33" s="270" customFormat="1" ht="13.5">
      <c r="A246" s="282"/>
      <c r="B246" s="420" t="s">
        <v>956</v>
      </c>
      <c r="C246" s="421"/>
      <c r="D246" s="421"/>
      <c r="E246" s="421"/>
      <c r="F246" s="422"/>
      <c r="G246" s="269">
        <f>SUM(G200:G245)</f>
        <v>356488</v>
      </c>
      <c r="H246" s="269">
        <f aca="true" t="shared" si="20" ref="H246:AE246">SUM(H200:H245)</f>
        <v>78291</v>
      </c>
      <c r="I246" s="269">
        <f t="shared" si="20"/>
        <v>1420701</v>
      </c>
      <c r="J246" s="269">
        <f t="shared" si="20"/>
        <v>0</v>
      </c>
      <c r="K246" s="269">
        <f t="shared" si="20"/>
        <v>611300</v>
      </c>
      <c r="L246" s="269">
        <f t="shared" si="20"/>
        <v>0</v>
      </c>
      <c r="M246" s="269">
        <f t="shared" si="20"/>
        <v>1118248</v>
      </c>
      <c r="N246" s="269">
        <f t="shared" si="20"/>
        <v>0</v>
      </c>
      <c r="O246" s="269">
        <f t="shared" si="20"/>
        <v>0</v>
      </c>
      <c r="P246" s="269">
        <f t="shared" si="20"/>
        <v>5807</v>
      </c>
      <c r="Q246" s="269">
        <f t="shared" si="20"/>
        <v>353011</v>
      </c>
      <c r="R246" s="269">
        <f t="shared" si="20"/>
        <v>0</v>
      </c>
      <c r="S246" s="269">
        <f t="shared" si="20"/>
        <v>23000</v>
      </c>
      <c r="T246" s="269">
        <f t="shared" si="20"/>
        <v>3966846</v>
      </c>
      <c r="U246" s="269">
        <f t="shared" si="20"/>
        <v>1170315</v>
      </c>
      <c r="V246" s="269">
        <f t="shared" si="20"/>
        <v>320909</v>
      </c>
      <c r="W246" s="269">
        <f t="shared" si="20"/>
        <v>1670714</v>
      </c>
      <c r="X246" s="269">
        <f t="shared" si="20"/>
        <v>0</v>
      </c>
      <c r="Y246" s="269">
        <f t="shared" si="20"/>
        <v>0</v>
      </c>
      <c r="Z246" s="269">
        <f t="shared" si="20"/>
        <v>301302</v>
      </c>
      <c r="AA246" s="269">
        <f t="shared" si="20"/>
        <v>296208</v>
      </c>
      <c r="AB246" s="269">
        <f t="shared" si="20"/>
        <v>184398</v>
      </c>
      <c r="AC246" s="269">
        <f t="shared" si="20"/>
        <v>0</v>
      </c>
      <c r="AD246" s="269">
        <f t="shared" si="20"/>
        <v>23000</v>
      </c>
      <c r="AE246" s="269">
        <f t="shared" si="20"/>
        <v>3966846</v>
      </c>
      <c r="AF246" s="269">
        <f>SUM(AF217:AF245)</f>
        <v>0</v>
      </c>
      <c r="AG246" s="306">
        <f>AE246-T246</f>
        <v>0</v>
      </c>
    </row>
    <row r="247" spans="2:33" s="316" customFormat="1" ht="12.75">
      <c r="B247" s="423" t="s">
        <v>957</v>
      </c>
      <c r="C247" s="423"/>
      <c r="D247" s="423"/>
      <c r="E247" s="423"/>
      <c r="F247" s="423"/>
      <c r="G247" s="317">
        <f aca="true" t="shared" si="21" ref="G247:AE247">G5+G7+G13+G31+G64+G89+G104+G117+G150+G174+G199+G246</f>
        <v>19429057</v>
      </c>
      <c r="H247" s="317">
        <f t="shared" si="21"/>
        <v>5112426</v>
      </c>
      <c r="I247" s="317">
        <f t="shared" si="21"/>
        <v>12974904</v>
      </c>
      <c r="J247" s="317">
        <f t="shared" si="21"/>
        <v>0</v>
      </c>
      <c r="K247" s="317">
        <f t="shared" si="21"/>
        <v>917888</v>
      </c>
      <c r="L247" s="317">
        <f t="shared" si="21"/>
        <v>0</v>
      </c>
      <c r="M247" s="317">
        <f t="shared" si="21"/>
        <v>1165151</v>
      </c>
      <c r="N247" s="317">
        <f t="shared" si="21"/>
        <v>0</v>
      </c>
      <c r="O247" s="317">
        <f t="shared" si="21"/>
        <v>0</v>
      </c>
      <c r="P247" s="317">
        <f t="shared" si="21"/>
        <v>43689</v>
      </c>
      <c r="Q247" s="317">
        <f t="shared" si="21"/>
        <v>1541775</v>
      </c>
      <c r="R247" s="317">
        <f t="shared" si="21"/>
        <v>42625</v>
      </c>
      <c r="S247" s="317">
        <f t="shared" si="21"/>
        <v>23000</v>
      </c>
      <c r="T247" s="317">
        <f t="shared" si="21"/>
        <v>41250515</v>
      </c>
      <c r="U247" s="317">
        <f t="shared" si="21"/>
        <v>14728315</v>
      </c>
      <c r="V247" s="317">
        <f t="shared" si="21"/>
        <v>1540229</v>
      </c>
      <c r="W247" s="317">
        <f t="shared" si="21"/>
        <v>6133460</v>
      </c>
      <c r="X247" s="317">
        <f t="shared" si="21"/>
        <v>481713</v>
      </c>
      <c r="Y247" s="317">
        <f t="shared" si="21"/>
        <v>0</v>
      </c>
      <c r="Z247" s="317">
        <f t="shared" si="21"/>
        <v>530594</v>
      </c>
      <c r="AA247" s="317">
        <f t="shared" si="21"/>
        <v>1151567</v>
      </c>
      <c r="AB247" s="317">
        <f t="shared" si="21"/>
        <v>16468160</v>
      </c>
      <c r="AC247" s="317">
        <f t="shared" si="21"/>
        <v>193477</v>
      </c>
      <c r="AD247" s="317">
        <f t="shared" si="21"/>
        <v>23000</v>
      </c>
      <c r="AE247" s="317">
        <f t="shared" si="21"/>
        <v>41250515</v>
      </c>
      <c r="AF247" s="317" t="e">
        <f>AF5+AF7+AF13+AF31+#REF!+AF89+AF104+AF117+AF150+AF174+AF199+AF246</f>
        <v>#REF!</v>
      </c>
      <c r="AG247" s="264">
        <f t="shared" si="0"/>
        <v>0</v>
      </c>
    </row>
    <row r="248" spans="2:33" s="318" customFormat="1" ht="13.5" customHeight="1">
      <c r="B248" s="424" t="s">
        <v>958</v>
      </c>
      <c r="C248" s="424"/>
      <c r="D248" s="424"/>
      <c r="E248" s="424"/>
      <c r="F248" s="424"/>
      <c r="G248" s="319">
        <f>G247</f>
        <v>19429057</v>
      </c>
      <c r="H248" s="319">
        <f aca="true" t="shared" si="22" ref="H248:AE248">H247</f>
        <v>5112426</v>
      </c>
      <c r="I248" s="319">
        <f t="shared" si="22"/>
        <v>12974904</v>
      </c>
      <c r="J248" s="319">
        <f t="shared" si="22"/>
        <v>0</v>
      </c>
      <c r="K248" s="319">
        <f t="shared" si="22"/>
        <v>917888</v>
      </c>
      <c r="L248" s="319">
        <f t="shared" si="22"/>
        <v>0</v>
      </c>
      <c r="M248" s="319">
        <f t="shared" si="22"/>
        <v>1165151</v>
      </c>
      <c r="N248" s="319">
        <f t="shared" si="22"/>
        <v>0</v>
      </c>
      <c r="O248" s="319">
        <f t="shared" si="22"/>
        <v>0</v>
      </c>
      <c r="P248" s="319">
        <f t="shared" si="22"/>
        <v>43689</v>
      </c>
      <c r="Q248" s="319">
        <f t="shared" si="22"/>
        <v>1541775</v>
      </c>
      <c r="R248" s="319">
        <f t="shared" si="22"/>
        <v>42625</v>
      </c>
      <c r="S248" s="319">
        <f t="shared" si="22"/>
        <v>23000</v>
      </c>
      <c r="T248" s="319">
        <f t="shared" si="22"/>
        <v>41250515</v>
      </c>
      <c r="U248" s="319">
        <f t="shared" si="22"/>
        <v>14728315</v>
      </c>
      <c r="V248" s="319">
        <f t="shared" si="22"/>
        <v>1540229</v>
      </c>
      <c r="W248" s="319">
        <f t="shared" si="22"/>
        <v>6133460</v>
      </c>
      <c r="X248" s="319">
        <f t="shared" si="22"/>
        <v>481713</v>
      </c>
      <c r="Y248" s="319">
        <f t="shared" si="22"/>
        <v>0</v>
      </c>
      <c r="Z248" s="319">
        <f t="shared" si="22"/>
        <v>530594</v>
      </c>
      <c r="AA248" s="319">
        <f t="shared" si="22"/>
        <v>1151567</v>
      </c>
      <c r="AB248" s="319">
        <f t="shared" si="22"/>
        <v>16468160</v>
      </c>
      <c r="AC248" s="319">
        <f t="shared" si="22"/>
        <v>193477</v>
      </c>
      <c r="AD248" s="319">
        <f t="shared" si="22"/>
        <v>23000</v>
      </c>
      <c r="AE248" s="319">
        <f t="shared" si="22"/>
        <v>41250515</v>
      </c>
      <c r="AF248" s="319">
        <v>0</v>
      </c>
      <c r="AG248" s="264">
        <f t="shared" si="0"/>
        <v>0</v>
      </c>
    </row>
    <row r="249" spans="2:33" s="318" customFormat="1" ht="12.75">
      <c r="B249" s="424" t="s">
        <v>959</v>
      </c>
      <c r="C249" s="424"/>
      <c r="D249" s="424"/>
      <c r="E249" s="424"/>
      <c r="F249" s="424"/>
      <c r="G249" s="319"/>
      <c r="H249" s="319">
        <v>0</v>
      </c>
      <c r="I249" s="319">
        <v>0</v>
      </c>
      <c r="J249" s="319">
        <v>0</v>
      </c>
      <c r="K249" s="319"/>
      <c r="L249" s="319">
        <v>0</v>
      </c>
      <c r="M249" s="319">
        <v>0</v>
      </c>
      <c r="N249" s="319">
        <v>0</v>
      </c>
      <c r="O249" s="319">
        <v>0</v>
      </c>
      <c r="P249" s="319">
        <v>0</v>
      </c>
      <c r="Q249" s="319">
        <v>0</v>
      </c>
      <c r="R249" s="319">
        <v>0</v>
      </c>
      <c r="S249" s="319">
        <v>0</v>
      </c>
      <c r="T249" s="319">
        <v>0</v>
      </c>
      <c r="U249" s="319">
        <v>0</v>
      </c>
      <c r="V249" s="319">
        <v>0</v>
      </c>
      <c r="W249" s="319">
        <v>0</v>
      </c>
      <c r="X249" s="319">
        <v>0</v>
      </c>
      <c r="Y249" s="319">
        <v>0</v>
      </c>
      <c r="Z249" s="319">
        <v>0</v>
      </c>
      <c r="AA249" s="319">
        <v>0</v>
      </c>
      <c r="AB249" s="319">
        <v>0</v>
      </c>
      <c r="AC249" s="319">
        <v>0</v>
      </c>
      <c r="AD249" s="319">
        <v>0</v>
      </c>
      <c r="AE249" s="319">
        <v>0</v>
      </c>
      <c r="AF249" s="319">
        <v>0</v>
      </c>
      <c r="AG249" s="264">
        <f t="shared" si="0"/>
        <v>0</v>
      </c>
    </row>
    <row r="250" spans="2:33" ht="12.75">
      <c r="B250" s="321"/>
      <c r="C250" s="322"/>
      <c r="D250" s="322"/>
      <c r="E250" s="322"/>
      <c r="F250" s="323" t="s">
        <v>960</v>
      </c>
      <c r="G250" s="324">
        <v>19429057</v>
      </c>
      <c r="H250" s="324">
        <v>5112426</v>
      </c>
      <c r="I250" s="321">
        <v>12974904</v>
      </c>
      <c r="J250" s="321">
        <v>0</v>
      </c>
      <c r="K250" s="321">
        <v>917888</v>
      </c>
      <c r="L250" s="321">
        <v>0</v>
      </c>
      <c r="M250" s="321">
        <v>1165151</v>
      </c>
      <c r="N250" s="321"/>
      <c r="O250" s="321"/>
      <c r="P250" s="321">
        <v>43689</v>
      </c>
      <c r="Q250" s="321">
        <v>1541775</v>
      </c>
      <c r="R250" s="321">
        <v>42625</v>
      </c>
      <c r="S250" s="321">
        <v>23000</v>
      </c>
      <c r="T250" s="321">
        <f>SUM(G250:S250)</f>
        <v>41250515</v>
      </c>
      <c r="U250" s="321">
        <v>14728315</v>
      </c>
      <c r="V250" s="321">
        <v>1540229</v>
      </c>
      <c r="W250" s="321">
        <v>6133460</v>
      </c>
      <c r="X250" s="321">
        <v>481713</v>
      </c>
      <c r="Y250" s="321"/>
      <c r="Z250" s="321">
        <v>530594</v>
      </c>
      <c r="AA250" s="321">
        <v>1151567</v>
      </c>
      <c r="AB250" s="321">
        <v>16468160</v>
      </c>
      <c r="AC250" s="321">
        <v>193477</v>
      </c>
      <c r="AD250" s="321">
        <v>23000</v>
      </c>
      <c r="AE250" s="321">
        <f>SUM(U250:AD250)</f>
        <v>41250515</v>
      </c>
      <c r="AG250" s="264">
        <f t="shared" si="0"/>
        <v>0</v>
      </c>
    </row>
    <row r="251" spans="3:33" ht="12.75">
      <c r="C251" s="325"/>
      <c r="E251" s="325"/>
      <c r="F251" s="326" t="s">
        <v>961</v>
      </c>
      <c r="G251" s="327">
        <f>G247-G250</f>
        <v>0</v>
      </c>
      <c r="H251" s="327">
        <f aca="true" t="shared" si="23" ref="H251:AE251">H247-H250</f>
        <v>0</v>
      </c>
      <c r="I251" s="327">
        <f t="shared" si="23"/>
        <v>0</v>
      </c>
      <c r="J251" s="327">
        <f t="shared" si="23"/>
        <v>0</v>
      </c>
      <c r="K251" s="327">
        <f t="shared" si="23"/>
        <v>0</v>
      </c>
      <c r="L251" s="327">
        <f t="shared" si="23"/>
        <v>0</v>
      </c>
      <c r="M251" s="327">
        <f t="shared" si="23"/>
        <v>0</v>
      </c>
      <c r="N251" s="327">
        <f t="shared" si="23"/>
        <v>0</v>
      </c>
      <c r="O251" s="327">
        <f t="shared" si="23"/>
        <v>0</v>
      </c>
      <c r="P251" s="327">
        <f t="shared" si="23"/>
        <v>0</v>
      </c>
      <c r="Q251" s="327">
        <f t="shared" si="23"/>
        <v>0</v>
      </c>
      <c r="R251" s="327">
        <f t="shared" si="23"/>
        <v>0</v>
      </c>
      <c r="S251" s="327">
        <f t="shared" si="23"/>
        <v>0</v>
      </c>
      <c r="T251" s="328">
        <f t="shared" si="23"/>
        <v>0</v>
      </c>
      <c r="U251" s="327">
        <f t="shared" si="23"/>
        <v>0</v>
      </c>
      <c r="V251" s="327">
        <f t="shared" si="23"/>
        <v>0</v>
      </c>
      <c r="W251" s="327">
        <f t="shared" si="23"/>
        <v>0</v>
      </c>
      <c r="X251" s="327">
        <f>X247-X250</f>
        <v>0</v>
      </c>
      <c r="Y251" s="327">
        <f t="shared" si="23"/>
        <v>0</v>
      </c>
      <c r="Z251" s="327">
        <f t="shared" si="23"/>
        <v>0</v>
      </c>
      <c r="AA251" s="327">
        <f t="shared" si="23"/>
        <v>0</v>
      </c>
      <c r="AB251" s="327">
        <f t="shared" si="23"/>
        <v>0</v>
      </c>
      <c r="AC251" s="327">
        <f t="shared" si="23"/>
        <v>0</v>
      </c>
      <c r="AD251" s="327">
        <f t="shared" si="23"/>
        <v>0</v>
      </c>
      <c r="AE251" s="327">
        <f t="shared" si="23"/>
        <v>0</v>
      </c>
      <c r="AF251" s="327">
        <v>0</v>
      </c>
      <c r="AG251" s="264">
        <f t="shared" si="0"/>
        <v>0</v>
      </c>
    </row>
    <row r="252" ht="12.75">
      <c r="E252" s="325"/>
    </row>
    <row r="253" ht="12.75">
      <c r="E253" s="325"/>
    </row>
    <row r="254" ht="12.75">
      <c r="E254" s="325"/>
    </row>
    <row r="255" ht="12.75">
      <c r="E255" s="325"/>
    </row>
    <row r="256" ht="12.75">
      <c r="E256" s="325"/>
    </row>
    <row r="257" ht="12.75">
      <c r="E257" s="325"/>
    </row>
    <row r="258" ht="12.75">
      <c r="E258" s="325"/>
    </row>
    <row r="259" ht="12.75">
      <c r="E259" s="325"/>
    </row>
  </sheetData>
  <sheetProtection password="EE36" sheet="1" formatCells="0" formatColumns="0" formatRows="0" insertColumns="0" insertRows="0" insertHyperlinks="0" deleteColumns="0" deleteRows="0" sort="0" autoFilter="0" pivotTables="0"/>
  <autoFilter ref="A1:AH259"/>
  <mergeCells count="46">
    <mergeCell ref="B246:F246"/>
    <mergeCell ref="B247:F247"/>
    <mergeCell ref="B248:F248"/>
    <mergeCell ref="B249:F249"/>
    <mergeCell ref="B89:F89"/>
    <mergeCell ref="B104:F104"/>
    <mergeCell ref="B117:F117"/>
    <mergeCell ref="B150:F150"/>
    <mergeCell ref="B174:F174"/>
    <mergeCell ref="B199:F199"/>
    <mergeCell ref="AE1:AE2"/>
    <mergeCell ref="B5:F5"/>
    <mergeCell ref="B7:F7"/>
    <mergeCell ref="B13:F13"/>
    <mergeCell ref="B31:F31"/>
    <mergeCell ref="B64:F64"/>
    <mergeCell ref="Y1:Y2"/>
    <mergeCell ref="Z1:Z2"/>
    <mergeCell ref="AA1:AA2"/>
    <mergeCell ref="AB1:AB2"/>
    <mergeCell ref="AC1:AC2"/>
    <mergeCell ref="AD1:AD2"/>
    <mergeCell ref="S1:S2"/>
    <mergeCell ref="T1:T2"/>
    <mergeCell ref="U1:U2"/>
    <mergeCell ref="V1:V2"/>
    <mergeCell ref="W1:W2"/>
    <mergeCell ref="X1:X2"/>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printOptions horizontalCentered="1"/>
  <pageMargins left="0.15748031496062992" right="0.15748031496062992" top="0.5511811023622047" bottom="0" header="0.15748031496062992" footer="0"/>
  <pageSetup fitToHeight="3" fitToWidth="1" horizontalDpi="600" verticalDpi="600" orientation="landscape" paperSize="8" scale="63" r:id="rId1"/>
  <headerFooter alignWithMargins="0">
    <oddHeader>&amp;C&amp;"Times New Roman,Félkövér"&amp;12Előirányzat-nyilvántartás
MgSzH 2010.&amp;R1. sz. melléklet
Adatok ezer Ft-ban</oddHeader>
  </headerFooter>
  <rowBreaks count="1" manualBreakCount="1">
    <brk id="150" max="30" man="1"/>
  </rowBreaks>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showGridLines="0" zoomScale="83" zoomScaleNormal="83" zoomScalePageLayoutView="0" workbookViewId="0" topLeftCell="A1">
      <selection activeCell="B21" sqref="B21"/>
    </sheetView>
  </sheetViews>
  <sheetFormatPr defaultColWidth="9.140625" defaultRowHeight="12.75"/>
  <cols>
    <col min="1" max="1" width="39.00390625" style="390" customWidth="1"/>
    <col min="2" max="2" width="53.28125" style="390" customWidth="1"/>
    <col min="3" max="3" width="10.140625" style="390" bestFit="1" customWidth="1"/>
    <col min="4" max="16384" width="9.140625" style="390" customWidth="1"/>
  </cols>
  <sheetData>
    <row r="1" ht="15.75">
      <c r="A1" s="389"/>
    </row>
    <row r="2" ht="15">
      <c r="A2" s="391"/>
    </row>
    <row r="3" ht="15.75">
      <c r="C3" s="392" t="s">
        <v>38</v>
      </c>
    </row>
    <row r="4" ht="15.75">
      <c r="A4" s="393"/>
    </row>
    <row r="5" spans="1:3" ht="18.75">
      <c r="A5" s="498" t="s">
        <v>39</v>
      </c>
      <c r="B5" s="498"/>
      <c r="C5" s="498"/>
    </row>
    <row r="6" spans="1:3" ht="15.75">
      <c r="A6" s="499" t="s">
        <v>116</v>
      </c>
      <c r="B6" s="499"/>
      <c r="C6" s="499"/>
    </row>
    <row r="7" ht="15">
      <c r="A7" s="391"/>
    </row>
    <row r="8" spans="3:17" ht="15.75">
      <c r="C8" s="394" t="s">
        <v>0</v>
      </c>
      <c r="Q8" s="395"/>
    </row>
    <row r="9" spans="1:3" ht="31.5">
      <c r="A9" s="396" t="s">
        <v>40</v>
      </c>
      <c r="B9" s="396" t="s">
        <v>41</v>
      </c>
      <c r="C9" s="396" t="s">
        <v>42</v>
      </c>
    </row>
    <row r="10" ht="15.75">
      <c r="A10" s="389" t="s">
        <v>43</v>
      </c>
    </row>
    <row r="11" spans="1:3" ht="15.75">
      <c r="A11" s="397" t="s">
        <v>100</v>
      </c>
      <c r="B11" s="397"/>
      <c r="C11" s="398">
        <f>SUM(C12:C16)</f>
        <v>1180817</v>
      </c>
    </row>
    <row r="12" spans="1:3" ht="31.5">
      <c r="A12" s="397" t="s">
        <v>1105</v>
      </c>
      <c r="B12" s="399" t="s">
        <v>149</v>
      </c>
      <c r="C12" s="398">
        <v>1099329</v>
      </c>
    </row>
    <row r="13" spans="1:3" ht="15.75">
      <c r="A13" s="397" t="s">
        <v>150</v>
      </c>
      <c r="B13" s="400" t="s">
        <v>151</v>
      </c>
      <c r="C13" s="398">
        <v>17768</v>
      </c>
    </row>
    <row r="14" spans="1:3" ht="15.75">
      <c r="A14" s="397" t="s">
        <v>152</v>
      </c>
      <c r="B14" s="400" t="s">
        <v>153</v>
      </c>
      <c r="C14" s="398">
        <v>44531</v>
      </c>
    </row>
    <row r="15" spans="1:3" ht="31.5">
      <c r="A15" s="397" t="s">
        <v>154</v>
      </c>
      <c r="B15" s="400" t="s">
        <v>155</v>
      </c>
      <c r="C15" s="398">
        <v>2339</v>
      </c>
    </row>
    <row r="16" spans="1:3" ht="31.5">
      <c r="A16" s="397" t="s">
        <v>156</v>
      </c>
      <c r="B16" s="400" t="s">
        <v>155</v>
      </c>
      <c r="C16" s="398">
        <v>16850</v>
      </c>
    </row>
    <row r="17" spans="1:3" ht="31.5">
      <c r="A17" s="397" t="s">
        <v>101</v>
      </c>
      <c r="B17" s="397"/>
      <c r="C17" s="398">
        <v>0</v>
      </c>
    </row>
    <row r="18" spans="2:3" ht="15.75">
      <c r="B18" s="397"/>
      <c r="C18" s="398"/>
    </row>
    <row r="19" spans="1:3" ht="15.75">
      <c r="A19" s="397"/>
      <c r="B19" s="397"/>
      <c r="C19" s="398"/>
    </row>
    <row r="20" spans="1:3" ht="15.75">
      <c r="A20" s="397"/>
      <c r="B20" s="397"/>
      <c r="C20" s="398"/>
    </row>
    <row r="21" spans="1:3" ht="15.75">
      <c r="A21" s="397" t="s">
        <v>12</v>
      </c>
      <c r="B21" s="397"/>
      <c r="C21" s="398">
        <f>SUM(C11,C17)</f>
        <v>1180817</v>
      </c>
    </row>
    <row r="22" spans="1:3" ht="15.75">
      <c r="A22" s="401" t="s">
        <v>44</v>
      </c>
      <c r="B22" s="402"/>
      <c r="C22" s="403"/>
    </row>
    <row r="23" spans="1:3" ht="15.75">
      <c r="A23" s="397" t="s">
        <v>100</v>
      </c>
      <c r="B23" s="397"/>
      <c r="C23" s="398">
        <f>SUM(C24:C25)</f>
        <v>7958</v>
      </c>
    </row>
    <row r="24" spans="1:3" ht="15.75">
      <c r="A24" s="397" t="s">
        <v>157</v>
      </c>
      <c r="B24" s="397" t="s">
        <v>158</v>
      </c>
      <c r="C24" s="398">
        <v>7622</v>
      </c>
    </row>
    <row r="25" spans="1:3" ht="15.75">
      <c r="A25" s="397" t="s">
        <v>157</v>
      </c>
      <c r="B25" s="397" t="s">
        <v>159</v>
      </c>
      <c r="C25" s="398">
        <v>336</v>
      </c>
    </row>
    <row r="26" spans="1:4" ht="31.5">
      <c r="A26" s="397" t="s">
        <v>102</v>
      </c>
      <c r="B26" s="397"/>
      <c r="C26" s="398">
        <f>SUM(C27:C38)</f>
        <v>672047</v>
      </c>
      <c r="D26" s="403"/>
    </row>
    <row r="27" spans="1:3" ht="39" customHeight="1">
      <c r="A27" s="397" t="s">
        <v>160</v>
      </c>
      <c r="B27" s="397" t="s">
        <v>161</v>
      </c>
      <c r="C27" s="398">
        <v>507854</v>
      </c>
    </row>
    <row r="28" spans="1:3" ht="31.5">
      <c r="A28" s="397" t="s">
        <v>162</v>
      </c>
      <c r="B28" s="397" t="s">
        <v>163</v>
      </c>
      <c r="C28" s="398">
        <v>5000</v>
      </c>
    </row>
    <row r="29" spans="1:3" ht="15.75">
      <c r="A29" s="397" t="s">
        <v>164</v>
      </c>
      <c r="B29" s="397" t="s">
        <v>165</v>
      </c>
      <c r="C29" s="398">
        <v>118</v>
      </c>
    </row>
    <row r="30" spans="1:3" ht="31.5">
      <c r="A30" s="397" t="s">
        <v>166</v>
      </c>
      <c r="B30" s="397" t="s">
        <v>1106</v>
      </c>
      <c r="C30" s="398">
        <v>10796</v>
      </c>
    </row>
    <row r="31" spans="1:3" ht="15.75">
      <c r="A31" s="397" t="s">
        <v>167</v>
      </c>
      <c r="B31" s="397" t="s">
        <v>168</v>
      </c>
      <c r="C31" s="398">
        <v>16800</v>
      </c>
    </row>
    <row r="32" spans="1:3" ht="15.75">
      <c r="A32" s="397" t="s">
        <v>169</v>
      </c>
      <c r="B32" s="397" t="s">
        <v>170</v>
      </c>
      <c r="C32" s="398">
        <v>5000</v>
      </c>
    </row>
    <row r="33" spans="1:3" ht="15.75">
      <c r="A33" s="397" t="s">
        <v>169</v>
      </c>
      <c r="B33" s="397" t="s">
        <v>171</v>
      </c>
      <c r="C33" s="398">
        <v>500</v>
      </c>
    </row>
    <row r="34" spans="1:3" ht="31.5">
      <c r="A34" s="397" t="s">
        <v>172</v>
      </c>
      <c r="B34" s="397" t="s">
        <v>173</v>
      </c>
      <c r="C34" s="398">
        <v>3000</v>
      </c>
    </row>
    <row r="35" spans="1:3" ht="31.5">
      <c r="A35" s="397" t="s">
        <v>174</v>
      </c>
      <c r="B35" s="397" t="s">
        <v>175</v>
      </c>
      <c r="C35" s="398">
        <v>600</v>
      </c>
    </row>
    <row r="36" spans="1:3" ht="31.5">
      <c r="A36" s="397" t="s">
        <v>176</v>
      </c>
      <c r="B36" s="397" t="s">
        <v>177</v>
      </c>
      <c r="C36" s="398">
        <v>18326</v>
      </c>
    </row>
    <row r="37" spans="1:3" ht="15.75">
      <c r="A37" s="397" t="s">
        <v>178</v>
      </c>
      <c r="B37" s="397" t="s">
        <v>179</v>
      </c>
      <c r="C37" s="398">
        <v>100504</v>
      </c>
    </row>
    <row r="38" spans="1:3" ht="15.75">
      <c r="A38" s="397" t="s">
        <v>178</v>
      </c>
      <c r="B38" s="397" t="s">
        <v>180</v>
      </c>
      <c r="C38" s="398">
        <v>3549</v>
      </c>
    </row>
    <row r="39" spans="1:3" ht="15.75">
      <c r="A39" s="397" t="s">
        <v>12</v>
      </c>
      <c r="B39" s="397"/>
      <c r="C39" s="398">
        <f>SUM(C23,C26)</f>
        <v>680005</v>
      </c>
    </row>
    <row r="40" ht="15.75">
      <c r="A40" s="389" t="s">
        <v>45</v>
      </c>
    </row>
    <row r="41" spans="1:3" ht="31.5">
      <c r="A41" s="397" t="s">
        <v>103</v>
      </c>
      <c r="B41" s="397"/>
      <c r="C41" s="398">
        <v>0</v>
      </c>
    </row>
    <row r="42" spans="1:3" ht="15.75">
      <c r="A42" s="397"/>
      <c r="B42" s="397"/>
      <c r="C42" s="398"/>
    </row>
    <row r="43" spans="1:3" ht="15.75">
      <c r="A43" s="397"/>
      <c r="B43" s="397"/>
      <c r="C43" s="398"/>
    </row>
    <row r="44" spans="1:3" ht="31.5">
      <c r="A44" s="397" t="s">
        <v>104</v>
      </c>
      <c r="B44" s="397"/>
      <c r="C44" s="398">
        <v>0</v>
      </c>
    </row>
    <row r="45" spans="2:3" ht="15.75">
      <c r="B45" s="397"/>
      <c r="C45" s="398"/>
    </row>
    <row r="46" spans="1:3" ht="15.75">
      <c r="A46" s="397"/>
      <c r="B46" s="397"/>
      <c r="C46" s="398"/>
    </row>
    <row r="47" spans="1:3" ht="15.75">
      <c r="A47" s="397"/>
      <c r="B47" s="397"/>
      <c r="C47" s="398"/>
    </row>
    <row r="48" spans="1:3" ht="15.75">
      <c r="A48" s="397" t="s">
        <v>12</v>
      </c>
      <c r="B48" s="397"/>
      <c r="C48" s="398">
        <f>SUM(C41,C44)</f>
        <v>0</v>
      </c>
    </row>
    <row r="49" spans="1:3" ht="15.75">
      <c r="A49" s="401" t="s">
        <v>46</v>
      </c>
      <c r="B49" s="402"/>
      <c r="C49" s="403"/>
    </row>
    <row r="50" spans="1:3" ht="31.5">
      <c r="A50" s="397" t="s">
        <v>103</v>
      </c>
      <c r="B50" s="397"/>
      <c r="C50" s="398">
        <v>0</v>
      </c>
    </row>
    <row r="51" spans="1:3" ht="15.75">
      <c r="A51" s="397"/>
      <c r="B51" s="397"/>
      <c r="C51" s="398"/>
    </row>
    <row r="52" spans="1:3" ht="15.75">
      <c r="A52" s="397"/>
      <c r="B52" s="397"/>
      <c r="C52" s="398"/>
    </row>
    <row r="53" spans="1:3" ht="31.5">
      <c r="A53" s="397" t="s">
        <v>105</v>
      </c>
      <c r="B53" s="397"/>
      <c r="C53" s="398">
        <v>0</v>
      </c>
    </row>
    <row r="54" spans="1:3" ht="15.75">
      <c r="A54" s="397"/>
      <c r="B54" s="397"/>
      <c r="C54" s="398"/>
    </row>
    <row r="55" spans="1:3" ht="15.75">
      <c r="A55" s="397"/>
      <c r="B55" s="397"/>
      <c r="C55" s="398"/>
    </row>
    <row r="56" spans="1:3" ht="15.75">
      <c r="A56" s="397" t="s">
        <v>12</v>
      </c>
      <c r="B56" s="397"/>
      <c r="C56" s="398">
        <f>SUM(C50,C53)</f>
        <v>0</v>
      </c>
    </row>
  </sheetData>
  <sheetProtection password="EE36" sheet="1" formatCells="0" formatColumns="0" formatRows="0" insertColumns="0" insertRows="0" insertHyperlinks="0" deleteColumns="0" deleteRows="0" sort="0" autoFilter="0" pivotTables="0"/>
  <mergeCells count="2">
    <mergeCell ref="A5:C5"/>
    <mergeCell ref="A6:C6"/>
  </mergeCell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66" r:id="rId1"/>
  <headerFooter alignWithMargins="0">
    <oddHeader>&amp;C4. oldal</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102"/>
  <sheetViews>
    <sheetView showGridLines="0" zoomScale="84" zoomScaleNormal="84" zoomScalePageLayoutView="0" workbookViewId="0" topLeftCell="A1">
      <selection activeCell="B20" sqref="B20"/>
    </sheetView>
  </sheetViews>
  <sheetFormatPr defaultColWidth="9.140625" defaultRowHeight="12.75"/>
  <cols>
    <col min="1" max="1" width="39.8515625" style="390" customWidth="1"/>
    <col min="2" max="2" width="53.28125" style="390" customWidth="1"/>
    <col min="3" max="3" width="12.57421875" style="390" bestFit="1" customWidth="1"/>
    <col min="4" max="4" width="9.8515625" style="390" bestFit="1" customWidth="1"/>
    <col min="5" max="16384" width="9.140625" style="390" customWidth="1"/>
  </cols>
  <sheetData>
    <row r="1" ht="15.75">
      <c r="A1" s="389"/>
    </row>
    <row r="2" ht="15">
      <c r="A2" s="391"/>
    </row>
    <row r="3" ht="15.75">
      <c r="C3" s="392" t="s">
        <v>48</v>
      </c>
    </row>
    <row r="4" ht="15.75">
      <c r="A4" s="393"/>
    </row>
    <row r="5" spans="1:3" ht="18.75">
      <c r="A5" s="498" t="s">
        <v>47</v>
      </c>
      <c r="B5" s="498"/>
      <c r="C5" s="498"/>
    </row>
    <row r="6" spans="1:3" ht="15.75">
      <c r="A6" s="499" t="s">
        <v>116</v>
      </c>
      <c r="B6" s="499"/>
      <c r="C6" s="499"/>
    </row>
    <row r="7" ht="15">
      <c r="A7" s="391"/>
    </row>
    <row r="8" spans="3:17" ht="15.75">
      <c r="C8" s="394" t="s">
        <v>0</v>
      </c>
      <c r="Q8" s="395"/>
    </row>
    <row r="9" spans="1:3" ht="31.5">
      <c r="A9" s="396" t="s">
        <v>49</v>
      </c>
      <c r="B9" s="396" t="s">
        <v>50</v>
      </c>
      <c r="C9" s="396" t="s">
        <v>42</v>
      </c>
    </row>
    <row r="10" ht="15.75">
      <c r="A10" s="389" t="s">
        <v>51</v>
      </c>
    </row>
    <row r="11" spans="1:4" ht="15.75">
      <c r="A11" s="397" t="s">
        <v>106</v>
      </c>
      <c r="B11" s="397"/>
      <c r="C11" s="398">
        <f>SUM(C12:C40)</f>
        <v>4909342</v>
      </c>
      <c r="D11" s="403"/>
    </row>
    <row r="12" spans="1:3" ht="15.75">
      <c r="A12" s="397" t="s">
        <v>1107</v>
      </c>
      <c r="B12" s="397" t="s">
        <v>1108</v>
      </c>
      <c r="C12" s="404">
        <v>10980</v>
      </c>
    </row>
    <row r="13" spans="1:4" ht="15.75">
      <c r="A13" s="397" t="s">
        <v>1107</v>
      </c>
      <c r="B13" s="397" t="s">
        <v>1109</v>
      </c>
      <c r="C13" s="404">
        <v>2596</v>
      </c>
      <c r="D13" s="403"/>
    </row>
    <row r="14" spans="1:3" ht="31.5">
      <c r="A14" s="397" t="s">
        <v>1107</v>
      </c>
      <c r="B14" s="397" t="s">
        <v>1110</v>
      </c>
      <c r="C14" s="404">
        <v>158210</v>
      </c>
    </row>
    <row r="15" spans="1:3" ht="15.75">
      <c r="A15" s="397" t="s">
        <v>1107</v>
      </c>
      <c r="B15" s="397" t="s">
        <v>1111</v>
      </c>
      <c r="C15" s="404">
        <v>414515</v>
      </c>
    </row>
    <row r="16" spans="1:3" ht="15.75">
      <c r="A16" s="397" t="s">
        <v>1107</v>
      </c>
      <c r="B16" s="397" t="s">
        <v>1112</v>
      </c>
      <c r="C16" s="404">
        <v>1211365</v>
      </c>
    </row>
    <row r="17" spans="1:3" ht="15.75">
      <c r="A17" s="397" t="s">
        <v>1107</v>
      </c>
      <c r="B17" s="397" t="s">
        <v>1113</v>
      </c>
      <c r="C17" s="404">
        <v>788842</v>
      </c>
    </row>
    <row r="18" spans="1:3" ht="15.75">
      <c r="A18" s="397" t="s">
        <v>1107</v>
      </c>
      <c r="B18" s="397" t="s">
        <v>1114</v>
      </c>
      <c r="C18" s="404">
        <v>51408</v>
      </c>
    </row>
    <row r="19" spans="1:3" ht="47.25">
      <c r="A19" s="397" t="s">
        <v>1107</v>
      </c>
      <c r="B19" s="397" t="s">
        <v>1115</v>
      </c>
      <c r="C19" s="404">
        <v>335684</v>
      </c>
    </row>
    <row r="20" spans="1:3" ht="47.25">
      <c r="A20" s="397" t="s">
        <v>1107</v>
      </c>
      <c r="B20" s="397" t="s">
        <v>1116</v>
      </c>
      <c r="C20" s="404">
        <v>366747</v>
      </c>
    </row>
    <row r="21" spans="1:3" ht="31.5">
      <c r="A21" s="397" t="s">
        <v>1107</v>
      </c>
      <c r="B21" s="397" t="s">
        <v>1117</v>
      </c>
      <c r="C21" s="404">
        <v>48108</v>
      </c>
    </row>
    <row r="22" spans="1:3" ht="31.5">
      <c r="A22" s="397" t="s">
        <v>1118</v>
      </c>
      <c r="B22" s="397" t="s">
        <v>1119</v>
      </c>
      <c r="C22" s="404">
        <v>170785</v>
      </c>
    </row>
    <row r="23" spans="1:3" ht="31.5">
      <c r="A23" s="397" t="s">
        <v>1120</v>
      </c>
      <c r="B23" s="397" t="s">
        <v>1121</v>
      </c>
      <c r="C23" s="404">
        <v>597812</v>
      </c>
    </row>
    <row r="24" spans="1:3" ht="47.25">
      <c r="A24" s="397" t="s">
        <v>1107</v>
      </c>
      <c r="B24" s="397" t="s">
        <v>1122</v>
      </c>
      <c r="C24" s="404">
        <v>-2830</v>
      </c>
    </row>
    <row r="25" spans="1:3" ht="31.5">
      <c r="A25" s="397" t="s">
        <v>1120</v>
      </c>
      <c r="B25" s="397" t="s">
        <v>1123</v>
      </c>
      <c r="C25" s="404">
        <v>52451</v>
      </c>
    </row>
    <row r="26" spans="1:3" ht="31.5">
      <c r="A26" s="397" t="s">
        <v>1124</v>
      </c>
      <c r="B26" s="397" t="s">
        <v>1125</v>
      </c>
      <c r="C26" s="404">
        <v>1670</v>
      </c>
    </row>
    <row r="27" spans="1:3" ht="31.5">
      <c r="A27" s="397" t="s">
        <v>1126</v>
      </c>
      <c r="B27" s="397" t="s">
        <v>1127</v>
      </c>
      <c r="C27" s="404">
        <v>76327</v>
      </c>
    </row>
    <row r="28" spans="1:3" ht="15.75">
      <c r="A28" s="405" t="s">
        <v>1107</v>
      </c>
      <c r="B28" s="397" t="s">
        <v>1128</v>
      </c>
      <c r="C28" s="404">
        <f>138+1469</f>
        <v>1607</v>
      </c>
    </row>
    <row r="29" spans="1:3" ht="15.75">
      <c r="A29" s="397" t="s">
        <v>1129</v>
      </c>
      <c r="B29" s="397" t="s">
        <v>1130</v>
      </c>
      <c r="C29" s="404">
        <v>20000</v>
      </c>
    </row>
    <row r="30" spans="1:4" ht="31.5">
      <c r="A30" s="406" t="s">
        <v>1131</v>
      </c>
      <c r="B30" s="397" t="s">
        <v>1132</v>
      </c>
      <c r="C30" s="404">
        <v>323354</v>
      </c>
      <c r="D30" s="403"/>
    </row>
    <row r="31" spans="1:3" ht="31.5">
      <c r="A31" s="406" t="s">
        <v>1131</v>
      </c>
      <c r="B31" s="397" t="s">
        <v>1133</v>
      </c>
      <c r="C31" s="404">
        <v>125745</v>
      </c>
    </row>
    <row r="32" spans="1:3" ht="31.5">
      <c r="A32" s="406" t="s">
        <v>1131</v>
      </c>
      <c r="B32" s="397" t="s">
        <v>1134</v>
      </c>
      <c r="C32" s="404">
        <v>44800</v>
      </c>
    </row>
    <row r="33" spans="1:3" ht="15.75">
      <c r="A33" s="397" t="s">
        <v>1135</v>
      </c>
      <c r="B33" s="397" t="s">
        <v>1136</v>
      </c>
      <c r="C33" s="404">
        <v>53</v>
      </c>
    </row>
    <row r="34" spans="1:3" ht="15.75">
      <c r="A34" s="397" t="s">
        <v>1107</v>
      </c>
      <c r="B34" s="397" t="s">
        <v>1137</v>
      </c>
      <c r="C34" s="404">
        <v>22309</v>
      </c>
    </row>
    <row r="35" spans="1:3" ht="15.75">
      <c r="A35" s="397" t="s">
        <v>1107</v>
      </c>
      <c r="B35" s="397" t="s">
        <v>1138</v>
      </c>
      <c r="C35" s="404">
        <v>4868</v>
      </c>
    </row>
    <row r="36" spans="1:3" ht="33.75" customHeight="1">
      <c r="A36" s="406" t="s">
        <v>1139</v>
      </c>
      <c r="B36" s="397" t="s">
        <v>1140</v>
      </c>
      <c r="C36" s="404">
        <v>1879</v>
      </c>
    </row>
    <row r="37" spans="1:3" ht="15.75">
      <c r="A37" s="406" t="s">
        <v>1107</v>
      </c>
      <c r="B37" s="397" t="s">
        <v>1141</v>
      </c>
      <c r="C37" s="404">
        <v>32473</v>
      </c>
    </row>
    <row r="38" spans="1:3" ht="15.75">
      <c r="A38" s="406" t="s">
        <v>1142</v>
      </c>
      <c r="B38" s="397" t="s">
        <v>1143</v>
      </c>
      <c r="C38" s="404">
        <v>43698</v>
      </c>
    </row>
    <row r="39" spans="1:3" ht="15.75">
      <c r="A39" s="406" t="s">
        <v>1144</v>
      </c>
      <c r="B39" s="397" t="s">
        <v>1145</v>
      </c>
      <c r="C39" s="404">
        <v>753</v>
      </c>
    </row>
    <row r="40" spans="1:3" ht="15.75">
      <c r="A40" s="397" t="s">
        <v>1146</v>
      </c>
      <c r="B40" s="397" t="s">
        <v>1147</v>
      </c>
      <c r="C40" s="398">
        <v>3133</v>
      </c>
    </row>
    <row r="41" spans="1:4" ht="31.5">
      <c r="A41" s="397" t="s">
        <v>107</v>
      </c>
      <c r="B41" s="397"/>
      <c r="C41" s="398">
        <f>SUM(C42:C50)</f>
        <v>481712</v>
      </c>
      <c r="D41" s="403"/>
    </row>
    <row r="42" spans="1:3" ht="31.5">
      <c r="A42" s="397" t="s">
        <v>1148</v>
      </c>
      <c r="B42" s="397" t="s">
        <v>1149</v>
      </c>
      <c r="C42" s="398">
        <v>5000</v>
      </c>
    </row>
    <row r="43" spans="1:3" ht="31.5" customHeight="1">
      <c r="A43" s="397" t="s">
        <v>1150</v>
      </c>
      <c r="B43" s="397" t="s">
        <v>1151</v>
      </c>
      <c r="C43" s="398">
        <v>5000</v>
      </c>
    </row>
    <row r="44" spans="1:3" ht="47.25">
      <c r="A44" s="397" t="s">
        <v>1152</v>
      </c>
      <c r="B44" s="397" t="s">
        <v>1153</v>
      </c>
      <c r="C44" s="398">
        <v>250000</v>
      </c>
    </row>
    <row r="45" spans="1:3" ht="31.5">
      <c r="A45" s="397" t="s">
        <v>1154</v>
      </c>
      <c r="B45" s="397" t="s">
        <v>1155</v>
      </c>
      <c r="C45" s="398">
        <v>10000</v>
      </c>
    </row>
    <row r="46" spans="1:3" ht="31.5">
      <c r="A46" s="397" t="s">
        <v>1154</v>
      </c>
      <c r="B46" s="397" t="s">
        <v>1156</v>
      </c>
      <c r="C46" s="398">
        <v>41750</v>
      </c>
    </row>
    <row r="47" spans="1:3" ht="31.5">
      <c r="A47" s="397" t="s">
        <v>1105</v>
      </c>
      <c r="B47" s="397" t="s">
        <v>1157</v>
      </c>
      <c r="C47" s="398">
        <v>127391</v>
      </c>
    </row>
    <row r="48" spans="1:3" ht="31.5">
      <c r="A48" s="397" t="s">
        <v>1105</v>
      </c>
      <c r="B48" s="397" t="s">
        <v>1106</v>
      </c>
      <c r="C48" s="398">
        <v>21903</v>
      </c>
    </row>
    <row r="49" spans="1:3" ht="31.5">
      <c r="A49" s="397" t="s">
        <v>1154</v>
      </c>
      <c r="B49" s="397" t="s">
        <v>1158</v>
      </c>
      <c r="C49" s="398">
        <v>7000</v>
      </c>
    </row>
    <row r="50" spans="1:3" ht="31.5">
      <c r="A50" s="397" t="s">
        <v>1105</v>
      </c>
      <c r="B50" s="397" t="s">
        <v>1159</v>
      </c>
      <c r="C50" s="398">
        <v>13668</v>
      </c>
    </row>
    <row r="51" spans="1:3" ht="15.75">
      <c r="A51" s="397" t="s">
        <v>12</v>
      </c>
      <c r="B51" s="397"/>
      <c r="C51" s="398">
        <f>SUM(C41,C11)</f>
        <v>5391054</v>
      </c>
    </row>
    <row r="52" spans="1:3" ht="15.75">
      <c r="A52" s="401" t="s">
        <v>108</v>
      </c>
      <c r="B52" s="402"/>
      <c r="C52" s="403"/>
    </row>
    <row r="53" spans="1:4" ht="15.75">
      <c r="A53" s="397" t="s">
        <v>106</v>
      </c>
      <c r="B53" s="397"/>
      <c r="C53" s="398">
        <f>SUM(C54:C59)</f>
        <v>10009</v>
      </c>
      <c r="D53" s="403"/>
    </row>
    <row r="54" spans="1:3" ht="15.75">
      <c r="A54" s="397" t="s">
        <v>1160</v>
      </c>
      <c r="B54" s="397" t="s">
        <v>1161</v>
      </c>
      <c r="C54" s="398">
        <v>2745</v>
      </c>
    </row>
    <row r="55" spans="1:3" ht="15.75">
      <c r="A55" s="397" t="s">
        <v>1160</v>
      </c>
      <c r="B55" s="397" t="s">
        <v>1162</v>
      </c>
      <c r="C55" s="398">
        <v>5000</v>
      </c>
    </row>
    <row r="56" spans="1:3" ht="15.75">
      <c r="A56" s="397" t="s">
        <v>1160</v>
      </c>
      <c r="B56" s="397" t="s">
        <v>1163</v>
      </c>
      <c r="C56" s="398">
        <v>740</v>
      </c>
    </row>
    <row r="57" spans="1:3" ht="31.5">
      <c r="A57" s="397" t="s">
        <v>1160</v>
      </c>
      <c r="B57" s="397" t="s">
        <v>1164</v>
      </c>
      <c r="C57" s="398">
        <v>750</v>
      </c>
    </row>
    <row r="58" spans="1:3" ht="31.5">
      <c r="A58" s="397" t="s">
        <v>1160</v>
      </c>
      <c r="B58" s="397" t="s">
        <v>1165</v>
      </c>
      <c r="C58" s="398">
        <v>174</v>
      </c>
    </row>
    <row r="59" spans="1:3" ht="31.5">
      <c r="A59" s="397" t="s">
        <v>1166</v>
      </c>
      <c r="B59" s="397" t="s">
        <v>1167</v>
      </c>
      <c r="C59" s="398">
        <v>600</v>
      </c>
    </row>
    <row r="60" spans="1:4" ht="31.5">
      <c r="A60" s="397" t="s">
        <v>109</v>
      </c>
      <c r="B60" s="397"/>
      <c r="C60" s="398">
        <v>1559911</v>
      </c>
      <c r="D60" s="403"/>
    </row>
    <row r="61" spans="1:3" ht="52.5" customHeight="1">
      <c r="A61" s="397" t="s">
        <v>1168</v>
      </c>
      <c r="B61" s="397" t="s">
        <v>1169</v>
      </c>
      <c r="C61" s="398">
        <v>371114</v>
      </c>
    </row>
    <row r="62" spans="1:3" ht="47.25">
      <c r="A62" s="397" t="s">
        <v>1168</v>
      </c>
      <c r="B62" s="397" t="s">
        <v>1115</v>
      </c>
      <c r="C62" s="398">
        <v>511083</v>
      </c>
    </row>
    <row r="63" spans="1:3" ht="47.25">
      <c r="A63" s="397" t="s">
        <v>1170</v>
      </c>
      <c r="B63" s="397" t="s">
        <v>1171</v>
      </c>
      <c r="C63" s="398">
        <v>261006</v>
      </c>
    </row>
    <row r="64" spans="1:3" ht="31.5">
      <c r="A64" s="406" t="s">
        <v>178</v>
      </c>
      <c r="B64" s="397" t="s">
        <v>1172</v>
      </c>
      <c r="C64" s="398">
        <v>786</v>
      </c>
    </row>
    <row r="65" spans="1:3" ht="31.5">
      <c r="A65" s="406" t="s">
        <v>178</v>
      </c>
      <c r="B65" s="397" t="s">
        <v>1173</v>
      </c>
      <c r="C65" s="398">
        <v>6000</v>
      </c>
    </row>
    <row r="66" spans="1:3" ht="15.75">
      <c r="A66" s="397" t="s">
        <v>1174</v>
      </c>
      <c r="B66" s="397" t="s">
        <v>1175</v>
      </c>
      <c r="C66" s="398">
        <v>6156</v>
      </c>
    </row>
    <row r="67" spans="1:3" ht="15.75">
      <c r="A67" s="397" t="s">
        <v>1174</v>
      </c>
      <c r="B67" s="397" t="s">
        <v>1176</v>
      </c>
      <c r="C67" s="398">
        <v>10692</v>
      </c>
    </row>
    <row r="68" spans="1:3" ht="31.5">
      <c r="A68" s="397" t="s">
        <v>1177</v>
      </c>
      <c r="B68" s="397" t="s">
        <v>1178</v>
      </c>
      <c r="C68" s="398">
        <v>400</v>
      </c>
    </row>
    <row r="69" spans="1:3" ht="15.75">
      <c r="A69" s="397" t="s">
        <v>1179</v>
      </c>
      <c r="B69" s="397" t="s">
        <v>1180</v>
      </c>
      <c r="C69" s="398">
        <v>590</v>
      </c>
    </row>
    <row r="70" spans="1:3" ht="31.5">
      <c r="A70" s="397" t="s">
        <v>1170</v>
      </c>
      <c r="B70" s="397" t="s">
        <v>1181</v>
      </c>
      <c r="C70" s="398">
        <v>294502</v>
      </c>
    </row>
    <row r="71" spans="1:3" ht="15.75">
      <c r="A71" s="397" t="s">
        <v>1170</v>
      </c>
      <c r="B71" s="397" t="s">
        <v>1182</v>
      </c>
      <c r="C71" s="398">
        <v>13993</v>
      </c>
    </row>
    <row r="72" spans="1:3" ht="15.75">
      <c r="A72" s="397" t="s">
        <v>1170</v>
      </c>
      <c r="B72" s="397" t="s">
        <v>1183</v>
      </c>
      <c r="C72" s="398">
        <v>2189</v>
      </c>
    </row>
    <row r="73" spans="1:3" ht="15.75">
      <c r="A73" s="406"/>
      <c r="B73" s="397" t="s">
        <v>1184</v>
      </c>
      <c r="C73" s="398">
        <v>2501</v>
      </c>
    </row>
    <row r="74" spans="1:3" ht="15.75">
      <c r="A74" s="397" t="s">
        <v>1185</v>
      </c>
      <c r="B74" s="407" t="s">
        <v>810</v>
      </c>
      <c r="C74" s="398">
        <v>4572</v>
      </c>
    </row>
    <row r="75" spans="1:3" ht="15.75">
      <c r="A75" s="406" t="s">
        <v>1186</v>
      </c>
      <c r="B75" s="397" t="s">
        <v>1187</v>
      </c>
      <c r="C75" s="398">
        <v>274</v>
      </c>
    </row>
    <row r="76" spans="1:3" ht="15.75">
      <c r="A76" s="406"/>
      <c r="B76" s="397" t="s">
        <v>1188</v>
      </c>
      <c r="C76" s="398">
        <v>1497</v>
      </c>
    </row>
    <row r="77" spans="1:3" ht="31.5">
      <c r="A77" s="406" t="s">
        <v>1170</v>
      </c>
      <c r="B77" s="397" t="s">
        <v>1189</v>
      </c>
      <c r="C77" s="398">
        <v>44532</v>
      </c>
    </row>
    <row r="78" spans="1:3" ht="15.75">
      <c r="A78" s="406"/>
      <c r="B78" s="397" t="s">
        <v>1190</v>
      </c>
      <c r="C78" s="398">
        <v>16608</v>
      </c>
    </row>
    <row r="79" spans="1:3" ht="15.75">
      <c r="A79" s="397" t="s">
        <v>1170</v>
      </c>
      <c r="B79" s="397" t="s">
        <v>1191</v>
      </c>
      <c r="C79" s="398">
        <v>3858</v>
      </c>
    </row>
    <row r="80" spans="1:3" ht="31.5">
      <c r="A80" s="406" t="s">
        <v>1192</v>
      </c>
      <c r="B80" s="397" t="s">
        <v>1193</v>
      </c>
      <c r="C80" s="398">
        <v>2400</v>
      </c>
    </row>
    <row r="81" spans="1:3" ht="15.75">
      <c r="A81" s="406" t="s">
        <v>1194</v>
      </c>
      <c r="B81" s="397" t="s">
        <v>1195</v>
      </c>
      <c r="C81" s="398">
        <v>1037</v>
      </c>
    </row>
    <row r="82" spans="1:3" ht="15.75">
      <c r="A82" s="397" t="s">
        <v>1196</v>
      </c>
      <c r="B82" s="397" t="s">
        <v>1197</v>
      </c>
      <c r="C82" s="398">
        <v>4121</v>
      </c>
    </row>
    <row r="83" spans="1:3" ht="15.75">
      <c r="A83" s="397" t="s">
        <v>12</v>
      </c>
      <c r="B83" s="397"/>
      <c r="C83" s="398"/>
    </row>
    <row r="84" spans="1:3" ht="15.75">
      <c r="A84" s="401" t="s">
        <v>52</v>
      </c>
      <c r="B84" s="402"/>
      <c r="C84" s="403"/>
    </row>
    <row r="85" spans="1:4" ht="31.5">
      <c r="A85" s="397" t="s">
        <v>110</v>
      </c>
      <c r="B85" s="397"/>
      <c r="C85" s="398">
        <f>SUM(C86:C90)</f>
        <v>1157370</v>
      </c>
      <c r="D85" s="403"/>
    </row>
    <row r="86" spans="1:4" ht="15.75">
      <c r="A86" s="397" t="s">
        <v>1146</v>
      </c>
      <c r="B86" s="397" t="s">
        <v>1198</v>
      </c>
      <c r="C86" s="398">
        <v>7193</v>
      </c>
      <c r="D86" s="403"/>
    </row>
    <row r="87" spans="1:3" ht="15.75">
      <c r="A87" s="397" t="s">
        <v>1199</v>
      </c>
      <c r="B87" s="397" t="s">
        <v>1200</v>
      </c>
      <c r="C87" s="398">
        <v>820364</v>
      </c>
    </row>
    <row r="88" spans="1:3" ht="15.75">
      <c r="A88" s="397" t="s">
        <v>1199</v>
      </c>
      <c r="B88" s="397" t="s">
        <v>1201</v>
      </c>
      <c r="C88" s="398">
        <v>297892</v>
      </c>
    </row>
    <row r="89" spans="1:3" ht="15.75">
      <c r="A89" s="397" t="s">
        <v>1146</v>
      </c>
      <c r="B89" s="397" t="s">
        <v>1147</v>
      </c>
      <c r="C89" s="398">
        <v>21430</v>
      </c>
    </row>
    <row r="90" spans="1:3" ht="15.75">
      <c r="A90" s="397" t="s">
        <v>1146</v>
      </c>
      <c r="B90" s="397" t="s">
        <v>1202</v>
      </c>
      <c r="C90" s="398">
        <v>10491</v>
      </c>
    </row>
    <row r="91" spans="1:3" ht="31.5">
      <c r="A91" s="397" t="s">
        <v>111</v>
      </c>
      <c r="B91" s="397"/>
      <c r="C91" s="398"/>
    </row>
    <row r="92" spans="1:3" ht="15.75">
      <c r="A92" s="397"/>
      <c r="B92" s="397"/>
      <c r="C92" s="398"/>
    </row>
    <row r="93" spans="1:3" ht="15.75">
      <c r="A93" s="397" t="s">
        <v>12</v>
      </c>
      <c r="B93" s="397"/>
      <c r="C93" s="398">
        <f>SUM(C85,C91)</f>
        <v>1157370</v>
      </c>
    </row>
    <row r="94" spans="1:3" ht="15.75">
      <c r="A94" s="401" t="s">
        <v>53</v>
      </c>
      <c r="B94" s="402"/>
      <c r="C94" s="403"/>
    </row>
    <row r="95" spans="1:3" ht="31.5">
      <c r="A95" s="397" t="s">
        <v>110</v>
      </c>
      <c r="B95" s="397"/>
      <c r="C95" s="398">
        <v>0</v>
      </c>
    </row>
    <row r="96" spans="1:3" ht="15.75">
      <c r="A96" s="397"/>
      <c r="B96" s="397"/>
      <c r="C96" s="398"/>
    </row>
    <row r="97" spans="1:3" ht="15.75">
      <c r="A97" s="397"/>
      <c r="B97" s="397"/>
      <c r="C97" s="398"/>
    </row>
    <row r="98" spans="1:3" ht="31.5">
      <c r="A98" s="397" t="s">
        <v>112</v>
      </c>
      <c r="B98" s="397"/>
      <c r="C98" s="398">
        <v>0</v>
      </c>
    </row>
    <row r="99" spans="1:3" ht="15.75">
      <c r="A99" s="397"/>
      <c r="B99" s="397"/>
      <c r="C99" s="398"/>
    </row>
    <row r="100" spans="1:3" ht="15.75">
      <c r="A100" s="397"/>
      <c r="B100" s="397"/>
      <c r="C100" s="398"/>
    </row>
    <row r="101" spans="1:3" ht="15.75">
      <c r="A101" s="397" t="s">
        <v>12</v>
      </c>
      <c r="B101" s="397"/>
      <c r="C101" s="398">
        <f>SUM(C95,C98)</f>
        <v>0</v>
      </c>
    </row>
    <row r="102" spans="1:3" ht="15">
      <c r="A102" s="391"/>
      <c r="C102" s="403"/>
    </row>
  </sheetData>
  <sheetProtection password="EE36" sheet="1" formatCells="0" formatColumns="0" formatRows="0" insertColumns="0" insertRows="0" insertHyperlinks="0" deleteColumns="0" deleteRows="0" sort="0" autoFilter="0" pivotTables="0"/>
  <mergeCells count="2">
    <mergeCell ref="A5:C5"/>
    <mergeCell ref="A6:C6"/>
  </mergeCells>
  <printOptions horizontalCentered="1"/>
  <pageMargins left="0.7874015748031497" right="0.7874015748031497" top="0.5905511811023623" bottom="0.5905511811023623" header="0.5118110236220472" footer="0.5118110236220472"/>
  <pageSetup fitToHeight="3" fitToWidth="1" horizontalDpi="600" verticalDpi="600" orientation="portrait" paperSize="9" scale="84" r:id="rId1"/>
  <headerFooter alignWithMargins="0">
    <oddHeader>&amp;C5. oldal</oddHeader>
    <oddFooter>&amp;R&amp;P/&amp;N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4"/>
  <sheetViews>
    <sheetView showGridLines="0" zoomScale="85" zoomScaleNormal="85" zoomScalePageLayoutView="0" workbookViewId="0" topLeftCell="A28">
      <selection activeCell="G48" sqref="G48"/>
    </sheetView>
  </sheetViews>
  <sheetFormatPr defaultColWidth="9.140625" defaultRowHeight="12.75"/>
  <cols>
    <col min="1" max="1" width="40.7109375" style="0" customWidth="1"/>
    <col min="2" max="3" width="10.7109375" style="0" customWidth="1"/>
    <col min="4" max="5" width="10.28125" style="0" customWidth="1"/>
  </cols>
  <sheetData>
    <row r="1" spans="1:6" ht="15.75">
      <c r="A1" s="8"/>
      <c r="B1" s="8"/>
      <c r="C1" s="8"/>
      <c r="D1" s="8"/>
      <c r="E1" s="8"/>
      <c r="F1" s="11" t="s">
        <v>67</v>
      </c>
    </row>
    <row r="2" spans="1:6" ht="15.75">
      <c r="A2" s="1"/>
      <c r="B2" s="8"/>
      <c r="C2" s="8"/>
      <c r="D2" s="8"/>
      <c r="E2" s="8"/>
      <c r="F2" s="8"/>
    </row>
    <row r="3" spans="1:6" ht="18.75">
      <c r="A3" s="492" t="s">
        <v>54</v>
      </c>
      <c r="B3" s="492"/>
      <c r="C3" s="492"/>
      <c r="D3" s="492"/>
      <c r="E3" s="492"/>
      <c r="F3" s="492"/>
    </row>
    <row r="4" spans="1:6" ht="15.75">
      <c r="A4" s="1"/>
      <c r="B4" s="1"/>
      <c r="C4" s="1"/>
      <c r="D4" s="1"/>
      <c r="E4" s="1"/>
      <c r="F4" s="1"/>
    </row>
    <row r="5" spans="1:6" ht="15.75">
      <c r="A5" s="27" t="s">
        <v>0</v>
      </c>
      <c r="B5" s="1"/>
      <c r="C5" s="1"/>
      <c r="D5" s="1"/>
      <c r="E5" s="1"/>
      <c r="F5" s="1"/>
    </row>
    <row r="6" spans="1:6" ht="31.5">
      <c r="A6" s="501" t="s">
        <v>55</v>
      </c>
      <c r="B6" s="501"/>
      <c r="C6" s="501"/>
      <c r="D6" s="501"/>
      <c r="E6" s="28" t="s">
        <v>56</v>
      </c>
      <c r="F6" s="1"/>
    </row>
    <row r="7" spans="1:6" ht="15.75">
      <c r="A7" s="502" t="s">
        <v>181</v>
      </c>
      <c r="B7" s="502"/>
      <c r="C7" s="502"/>
      <c r="D7" s="502"/>
      <c r="E7" s="12"/>
      <c r="F7" s="1"/>
    </row>
    <row r="8" spans="1:6" ht="15.75">
      <c r="A8" s="502"/>
      <c r="B8" s="502"/>
      <c r="C8" s="502"/>
      <c r="D8" s="502"/>
      <c r="E8" s="12"/>
      <c r="F8" s="1"/>
    </row>
    <row r="9" spans="1:6" ht="15.75">
      <c r="A9" s="502"/>
      <c r="B9" s="502"/>
      <c r="C9" s="502"/>
      <c r="D9" s="502"/>
      <c r="E9" s="12"/>
      <c r="F9" s="1"/>
    </row>
    <row r="10" spans="1:6" ht="15.75">
      <c r="A10" s="502"/>
      <c r="B10" s="502"/>
      <c r="C10" s="502"/>
      <c r="D10" s="502"/>
      <c r="E10" s="12"/>
      <c r="F10" s="1"/>
    </row>
    <row r="11" spans="1:6" ht="15.75">
      <c r="A11" s="502"/>
      <c r="B11" s="502"/>
      <c r="C11" s="502"/>
      <c r="D11" s="502"/>
      <c r="E11" s="12"/>
      <c r="F11" s="1"/>
    </row>
    <row r="12" spans="1:6" ht="15.75">
      <c r="A12" s="503" t="s">
        <v>12</v>
      </c>
      <c r="B12" s="503"/>
      <c r="C12" s="503"/>
      <c r="D12" s="503"/>
      <c r="E12" s="12"/>
      <c r="F12" s="1"/>
    </row>
    <row r="13" spans="1:6" ht="15.75">
      <c r="A13" s="1"/>
      <c r="B13" s="1"/>
      <c r="C13" s="1"/>
      <c r="D13" s="1"/>
      <c r="E13" s="1"/>
      <c r="F13" s="1"/>
    </row>
    <row r="14" spans="1:6" ht="15.75">
      <c r="A14" s="18"/>
      <c r="B14" s="1"/>
      <c r="C14" s="1"/>
      <c r="D14" s="1"/>
      <c r="E14" s="1"/>
      <c r="F14" s="1"/>
    </row>
    <row r="15" spans="1:6" ht="15.75">
      <c r="A15" s="1"/>
      <c r="B15" s="1"/>
      <c r="C15" s="1"/>
      <c r="D15" s="1"/>
      <c r="E15" s="1"/>
      <c r="F15" s="11" t="s">
        <v>57</v>
      </c>
    </row>
    <row r="16" spans="1:6" ht="15.75">
      <c r="A16" s="2"/>
      <c r="B16" s="8"/>
      <c r="C16" s="8"/>
      <c r="D16" s="8"/>
      <c r="E16" s="8"/>
      <c r="F16" s="8"/>
    </row>
    <row r="17" spans="1:6" ht="18.75">
      <c r="A17" s="492" t="s">
        <v>58</v>
      </c>
      <c r="B17" s="492"/>
      <c r="C17" s="492"/>
      <c r="D17" s="492"/>
      <c r="E17" s="492"/>
      <c r="F17" s="492"/>
    </row>
    <row r="18" spans="1:6" ht="15.75">
      <c r="A18" s="500" t="s">
        <v>96</v>
      </c>
      <c r="B18" s="500"/>
      <c r="C18" s="500"/>
      <c r="D18" s="500"/>
      <c r="E18" s="500"/>
      <c r="F18" s="500"/>
    </row>
    <row r="19" spans="1:6" ht="15.75">
      <c r="A19" s="27"/>
      <c r="B19" s="1"/>
      <c r="C19" s="1"/>
      <c r="D19" s="1"/>
      <c r="E19" s="1" t="s">
        <v>0</v>
      </c>
      <c r="F19" s="1"/>
    </row>
    <row r="20" spans="1:6" ht="15.75">
      <c r="A20" s="511" t="s">
        <v>59</v>
      </c>
      <c r="B20" s="502" t="s">
        <v>60</v>
      </c>
      <c r="C20" s="504" t="s">
        <v>61</v>
      </c>
      <c r="D20" s="504"/>
      <c r="E20" s="504"/>
      <c r="F20" s="1"/>
    </row>
    <row r="21" spans="1:6" ht="47.25">
      <c r="A21" s="512"/>
      <c r="B21" s="502"/>
      <c r="C21" s="10" t="s">
        <v>124</v>
      </c>
      <c r="D21" s="10" t="s">
        <v>125</v>
      </c>
      <c r="E21" s="10" t="s">
        <v>126</v>
      </c>
      <c r="F21" s="1"/>
    </row>
    <row r="22" spans="1:6" ht="47.25">
      <c r="A22" s="23" t="s">
        <v>182</v>
      </c>
      <c r="B22" s="12">
        <v>422</v>
      </c>
      <c r="C22" s="12"/>
      <c r="D22" s="12">
        <v>422</v>
      </c>
      <c r="E22" s="12"/>
      <c r="F22" s="1"/>
    </row>
    <row r="23" spans="1:6" ht="31.5">
      <c r="A23" s="23" t="s">
        <v>183</v>
      </c>
      <c r="B23" s="12">
        <v>529</v>
      </c>
      <c r="C23" s="12"/>
      <c r="D23" s="12">
        <v>529</v>
      </c>
      <c r="E23" s="12"/>
      <c r="F23" s="1"/>
    </row>
    <row r="24" spans="1:6" ht="15.75">
      <c r="A24" s="23"/>
      <c r="B24" s="12"/>
      <c r="C24" s="12"/>
      <c r="D24" s="12"/>
      <c r="E24" s="12"/>
      <c r="F24" s="1"/>
    </row>
    <row r="25" spans="1:6" ht="15.75">
      <c r="A25" s="23"/>
      <c r="B25" s="12"/>
      <c r="C25" s="12"/>
      <c r="D25" s="12"/>
      <c r="E25" s="12"/>
      <c r="F25" s="1"/>
    </row>
    <row r="26" spans="1:6" ht="15.75">
      <c r="A26" s="23" t="s">
        <v>1</v>
      </c>
      <c r="B26" s="12">
        <f>SUM(B22:B25)</f>
        <v>951</v>
      </c>
      <c r="C26" s="12">
        <f>SUM(C22:C25)</f>
        <v>0</v>
      </c>
      <c r="D26" s="12">
        <f>SUM(D22:D25)</f>
        <v>951</v>
      </c>
      <c r="E26" s="12">
        <f>SUM(E22:E25)</f>
        <v>0</v>
      </c>
      <c r="F26" s="1"/>
    </row>
    <row r="27" spans="1:6" ht="15.75">
      <c r="A27" s="1"/>
      <c r="B27" s="1"/>
      <c r="C27" s="1"/>
      <c r="D27" s="1"/>
      <c r="E27" s="1"/>
      <c r="F27" s="1"/>
    </row>
    <row r="28" spans="1:6" ht="15.75">
      <c r="A28" s="1"/>
      <c r="B28" s="1"/>
      <c r="C28" s="1"/>
      <c r="D28" s="1"/>
      <c r="E28" s="1"/>
      <c r="F28" s="1"/>
    </row>
    <row r="29" spans="1:6" ht="15.75">
      <c r="A29" s="1"/>
      <c r="B29" s="1"/>
      <c r="C29" s="1"/>
      <c r="D29" s="1"/>
      <c r="E29" s="1"/>
      <c r="F29" s="11" t="s">
        <v>62</v>
      </c>
    </row>
    <row r="30" spans="1:6" ht="15.75">
      <c r="A30" s="7"/>
      <c r="B30" s="1"/>
      <c r="C30" s="1"/>
      <c r="D30" s="1"/>
      <c r="E30" s="1"/>
      <c r="F30" s="1"/>
    </row>
    <row r="31" spans="1:6" ht="18.75">
      <c r="A31" s="492" t="s">
        <v>63</v>
      </c>
      <c r="B31" s="492"/>
      <c r="C31" s="492"/>
      <c r="D31" s="492"/>
      <c r="E31" s="492"/>
      <c r="F31" s="492"/>
    </row>
    <row r="32" spans="1:6" ht="15.75">
      <c r="A32" s="500" t="s">
        <v>97</v>
      </c>
      <c r="B32" s="500"/>
      <c r="C32" s="500"/>
      <c r="D32" s="500"/>
      <c r="E32" s="500"/>
      <c r="F32" s="500"/>
    </row>
    <row r="33" spans="1:6" ht="15.75">
      <c r="A33" s="18"/>
      <c r="B33" s="8"/>
      <c r="C33" s="8"/>
      <c r="D33" s="8"/>
      <c r="E33" s="8"/>
      <c r="F33" s="8"/>
    </row>
    <row r="34" spans="1:6" ht="12.75" customHeight="1">
      <c r="A34" s="511" t="s">
        <v>68</v>
      </c>
      <c r="B34" s="502" t="s">
        <v>64</v>
      </c>
      <c r="C34" s="502" t="s">
        <v>65</v>
      </c>
      <c r="D34" s="505" t="s">
        <v>61</v>
      </c>
      <c r="E34" s="506"/>
      <c r="F34" s="507"/>
    </row>
    <row r="35" spans="1:6" ht="12.75" customHeight="1">
      <c r="A35" s="513"/>
      <c r="B35" s="502"/>
      <c r="C35" s="502"/>
      <c r="D35" s="508"/>
      <c r="E35" s="509"/>
      <c r="F35" s="510"/>
    </row>
    <row r="36" spans="1:6" ht="47.25">
      <c r="A36" s="512"/>
      <c r="B36" s="502"/>
      <c r="C36" s="502"/>
      <c r="D36" s="10" t="s">
        <v>127</v>
      </c>
      <c r="E36" s="10" t="s">
        <v>128</v>
      </c>
      <c r="F36" s="10" t="s">
        <v>129</v>
      </c>
    </row>
    <row r="37" spans="1:6" ht="15.75">
      <c r="A37" s="23" t="s">
        <v>181</v>
      </c>
      <c r="B37" s="12"/>
      <c r="C37" s="12"/>
      <c r="D37" s="12"/>
      <c r="E37" s="12"/>
      <c r="F37" s="12"/>
    </row>
    <row r="38" spans="1:6" ht="15.75">
      <c r="A38" s="23"/>
      <c r="B38" s="12"/>
      <c r="C38" s="12"/>
      <c r="D38" s="12"/>
      <c r="E38" s="12"/>
      <c r="F38" s="12"/>
    </row>
    <row r="39" spans="1:6" ht="15.75">
      <c r="A39" s="23"/>
      <c r="B39" s="12"/>
      <c r="C39" s="12"/>
      <c r="D39" s="12"/>
      <c r="E39" s="12"/>
      <c r="F39" s="12"/>
    </row>
    <row r="40" spans="1:6" ht="15.75">
      <c r="A40" s="23"/>
      <c r="B40" s="12"/>
      <c r="C40" s="12"/>
      <c r="D40" s="12"/>
      <c r="E40" s="12"/>
      <c r="F40" s="12"/>
    </row>
    <row r="41" spans="1:6" ht="15.75">
      <c r="A41" s="23" t="s">
        <v>1</v>
      </c>
      <c r="B41" s="12">
        <f>SUM(B37:B40)</f>
        <v>0</v>
      </c>
      <c r="C41" s="12">
        <f>SUM(C37:C40)</f>
        <v>0</v>
      </c>
      <c r="D41" s="12">
        <f>SUM(D37:D40)</f>
        <v>0</v>
      </c>
      <c r="E41" s="12">
        <f>SUM(E37:E40)</f>
        <v>0</v>
      </c>
      <c r="F41" s="12">
        <f>SUM(F37:F40)</f>
        <v>0</v>
      </c>
    </row>
    <row r="42" spans="1:6" ht="15.75">
      <c r="A42" s="35" t="s">
        <v>66</v>
      </c>
      <c r="B42" s="35"/>
      <c r="C42" s="35"/>
      <c r="D42" s="35"/>
      <c r="E42" s="35"/>
      <c r="F42" s="35"/>
    </row>
    <row r="43" spans="1:6" ht="12.75">
      <c r="A43" s="8"/>
      <c r="B43" s="8"/>
      <c r="C43" s="8"/>
      <c r="D43" s="8"/>
      <c r="E43" s="8"/>
      <c r="F43" s="8"/>
    </row>
    <row r="44" spans="1:6" ht="12.75">
      <c r="A44" s="8"/>
      <c r="B44" s="8"/>
      <c r="C44" s="8"/>
      <c r="D44" s="8"/>
      <c r="E44" s="8"/>
      <c r="F44" s="8"/>
    </row>
  </sheetData>
  <sheetProtection password="EE36" sheet="1" formatCells="0" formatColumns="0" formatRows="0" insertColumns="0" insertRows="0" insertHyperlinks="0" deleteColumns="0" deleteRows="0" sort="0" autoFilter="0" pivotTables="0"/>
  <mergeCells count="19">
    <mergeCell ref="A12:D12"/>
    <mergeCell ref="B20:B21"/>
    <mergeCell ref="C20:E20"/>
    <mergeCell ref="D34:F35"/>
    <mergeCell ref="A32:F32"/>
    <mergeCell ref="A20:A21"/>
    <mergeCell ref="A34:A36"/>
    <mergeCell ref="B34:B36"/>
    <mergeCell ref="C34:C36"/>
    <mergeCell ref="A3:F3"/>
    <mergeCell ref="A17:F17"/>
    <mergeCell ref="A18:F18"/>
    <mergeCell ref="A31:F31"/>
    <mergeCell ref="A6:D6"/>
    <mergeCell ref="A7:D7"/>
    <mergeCell ref="A8:D8"/>
    <mergeCell ref="A9:D9"/>
    <mergeCell ref="A10:D10"/>
    <mergeCell ref="A11:D11"/>
  </mergeCells>
  <printOptions horizontalCentered="1"/>
  <pageMargins left="0.3937007874015748" right="0.3937007874015748" top="0.4330708661417323" bottom="0.3937007874015748" header="0.15748031496062992" footer="0.5118110236220472"/>
  <pageSetup fitToHeight="1" fitToWidth="1" horizontalDpi="600" verticalDpi="600" orientation="portrait" paperSize="9" scale="97" r:id="rId1"/>
  <headerFooter alignWithMargins="0">
    <oddHeader>&amp;C6. oldal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H225"/>
  <sheetViews>
    <sheetView zoomScalePageLayoutView="0" workbookViewId="0" topLeftCell="A1">
      <selection activeCell="F25" sqref="F25"/>
    </sheetView>
  </sheetViews>
  <sheetFormatPr defaultColWidth="9.140625" defaultRowHeight="12.75"/>
  <cols>
    <col min="1" max="1" width="7.140625" style="55" customWidth="1"/>
    <col min="2" max="2" width="40.140625" style="128" customWidth="1"/>
    <col min="3" max="3" width="48.7109375" style="59" customWidth="1"/>
    <col min="4" max="4" width="15.8515625" style="129" bestFit="1" customWidth="1"/>
    <col min="5" max="8" width="9.140625" style="59" customWidth="1"/>
    <col min="9" max="9" width="3.140625" style="59" customWidth="1"/>
    <col min="10" max="16384" width="9.140625" style="59" customWidth="1"/>
  </cols>
  <sheetData>
    <row r="1" spans="3:4" ht="20.25" customHeight="1">
      <c r="C1" s="514" t="s">
        <v>379</v>
      </c>
      <c r="D1" s="514"/>
    </row>
    <row r="2" spans="2:3" ht="24" customHeight="1">
      <c r="B2" s="522" t="s">
        <v>69</v>
      </c>
      <c r="C2" s="522"/>
    </row>
    <row r="3" spans="2:3" ht="12.75">
      <c r="B3" s="522"/>
      <c r="C3" s="522"/>
    </row>
    <row r="4" spans="2:3" ht="15.75">
      <c r="B4" s="521" t="s">
        <v>116</v>
      </c>
      <c r="C4" s="521"/>
    </row>
    <row r="5" spans="2:3" ht="15.75">
      <c r="B5" s="523" t="s">
        <v>70</v>
      </c>
      <c r="C5" s="523"/>
    </row>
    <row r="7" spans="2:4" ht="12.75">
      <c r="B7" s="515" t="s">
        <v>469</v>
      </c>
      <c r="C7" s="515"/>
      <c r="D7" s="515"/>
    </row>
    <row r="8" spans="1:4" s="55" customFormat="1" ht="13.5" thickBot="1">
      <c r="A8" s="54" t="s">
        <v>184</v>
      </c>
      <c r="B8" s="516"/>
      <c r="C8" s="516"/>
      <c r="D8" s="516"/>
    </row>
    <row r="9" spans="1:4" ht="12.75">
      <c r="A9" s="54" t="s">
        <v>185</v>
      </c>
      <c r="B9" s="56" t="s">
        <v>186</v>
      </c>
      <c r="C9" s="57" t="s">
        <v>187</v>
      </c>
      <c r="D9" s="58" t="s">
        <v>188</v>
      </c>
    </row>
    <row r="10" spans="2:4" ht="12.75">
      <c r="B10" s="60" t="s">
        <v>189</v>
      </c>
      <c r="C10" s="61" t="s">
        <v>190</v>
      </c>
      <c r="D10" s="62">
        <v>2004085</v>
      </c>
    </row>
    <row r="11" spans="2:4" ht="12.75">
      <c r="B11" s="63" t="s">
        <v>1</v>
      </c>
      <c r="C11" s="64"/>
      <c r="D11" s="65">
        <f>SUM(D10)</f>
        <v>2004085</v>
      </c>
    </row>
    <row r="12" spans="2:4" ht="12.75">
      <c r="B12" s="60" t="s">
        <v>191</v>
      </c>
      <c r="C12" s="61" t="s">
        <v>192</v>
      </c>
      <c r="D12" s="62">
        <f>188725+3775+75+3775</f>
        <v>196350</v>
      </c>
    </row>
    <row r="13" spans="2:4" ht="12.75">
      <c r="B13" s="63" t="s">
        <v>1</v>
      </c>
      <c r="C13" s="64"/>
      <c r="D13" s="65">
        <f>SUM(D12)</f>
        <v>196350</v>
      </c>
    </row>
    <row r="14" spans="2:4" ht="25.5">
      <c r="B14" s="60" t="s">
        <v>193</v>
      </c>
      <c r="C14" s="61" t="s">
        <v>194</v>
      </c>
      <c r="D14" s="62">
        <f>147759+2955</f>
        <v>150714</v>
      </c>
    </row>
    <row r="15" spans="2:4" ht="25.5">
      <c r="B15" s="60" t="s">
        <v>195</v>
      </c>
      <c r="C15" s="61" t="s">
        <v>196</v>
      </c>
      <c r="D15" s="62">
        <v>329040</v>
      </c>
    </row>
    <row r="16" spans="2:4" ht="12.75">
      <c r="B16" s="63" t="s">
        <v>1</v>
      </c>
      <c r="C16" s="64"/>
      <c r="D16" s="65">
        <f>SUM(D14:D15)</f>
        <v>479754</v>
      </c>
    </row>
    <row r="17" spans="2:4" ht="25.5">
      <c r="B17" s="60" t="s">
        <v>197</v>
      </c>
      <c r="C17" s="61" t="s">
        <v>198</v>
      </c>
      <c r="D17" s="62">
        <v>201380</v>
      </c>
    </row>
    <row r="18" spans="2:4" s="55" customFormat="1" ht="12.75">
      <c r="B18" s="63" t="s">
        <v>1</v>
      </c>
      <c r="C18" s="66"/>
      <c r="D18" s="65">
        <f>SUM(D17)</f>
        <v>201380</v>
      </c>
    </row>
    <row r="19" spans="2:4" ht="25.5">
      <c r="B19" s="60" t="s">
        <v>199</v>
      </c>
      <c r="C19" s="61" t="s">
        <v>200</v>
      </c>
      <c r="D19" s="62">
        <v>149900</v>
      </c>
    </row>
    <row r="20" spans="2:4" ht="25.5">
      <c r="B20" s="60" t="s">
        <v>199</v>
      </c>
      <c r="C20" s="61" t="s">
        <v>201</v>
      </c>
      <c r="D20" s="62">
        <v>93750</v>
      </c>
    </row>
    <row r="21" spans="2:4" s="55" customFormat="1" ht="12.75">
      <c r="B21" s="63" t="s">
        <v>1</v>
      </c>
      <c r="C21" s="66"/>
      <c r="D21" s="65">
        <f>SUM(D19:D20)</f>
        <v>243650</v>
      </c>
    </row>
    <row r="22" spans="2:4" ht="25.5">
      <c r="B22" s="60" t="s">
        <v>202</v>
      </c>
      <c r="C22" s="61" t="s">
        <v>203</v>
      </c>
      <c r="D22" s="62">
        <v>2448750</v>
      </c>
    </row>
    <row r="23" spans="2:4" s="55" customFormat="1" ht="12.75">
      <c r="B23" s="67" t="s">
        <v>1</v>
      </c>
      <c r="C23" s="68"/>
      <c r="D23" s="65">
        <f>SUM(D22)</f>
        <v>2448750</v>
      </c>
    </row>
    <row r="24" spans="2:4" ht="12.75">
      <c r="B24" s="60" t="s">
        <v>204</v>
      </c>
      <c r="C24" s="61" t="s">
        <v>205</v>
      </c>
      <c r="D24" s="62">
        <v>9507914</v>
      </c>
    </row>
    <row r="25" spans="2:4" ht="12.75">
      <c r="B25" s="60" t="s">
        <v>204</v>
      </c>
      <c r="C25" s="61" t="s">
        <v>206</v>
      </c>
      <c r="D25" s="62">
        <v>2132875</v>
      </c>
    </row>
    <row r="26" spans="2:4" ht="12.75">
      <c r="B26" s="60" t="s">
        <v>204</v>
      </c>
      <c r="C26" s="61" t="s">
        <v>207</v>
      </c>
      <c r="D26" s="62">
        <v>24174000</v>
      </c>
    </row>
    <row r="27" spans="2:4" ht="12.75">
      <c r="B27" s="60" t="s">
        <v>204</v>
      </c>
      <c r="C27" s="61" t="s">
        <v>208</v>
      </c>
      <c r="D27" s="62">
        <v>4842900</v>
      </c>
    </row>
    <row r="28" spans="2:4" ht="12.75">
      <c r="B28" s="60" t="s">
        <v>204</v>
      </c>
      <c r="C28" s="61" t="s">
        <v>209</v>
      </c>
      <c r="D28" s="62">
        <v>96850</v>
      </c>
    </row>
    <row r="29" spans="2:4" ht="12.75">
      <c r="B29" s="60" t="s">
        <v>204</v>
      </c>
      <c r="C29" s="61" t="s">
        <v>210</v>
      </c>
      <c r="D29" s="62">
        <v>9390375</v>
      </c>
    </row>
    <row r="30" spans="2:4" ht="12" customHeight="1">
      <c r="B30" s="60" t="s">
        <v>204</v>
      </c>
      <c r="C30" s="61" t="s">
        <v>211</v>
      </c>
      <c r="D30" s="62">
        <v>3692102</v>
      </c>
    </row>
    <row r="31" spans="2:4" ht="12.75">
      <c r="B31" s="60" t="s">
        <v>204</v>
      </c>
      <c r="C31" s="61" t="s">
        <v>212</v>
      </c>
      <c r="D31" s="62">
        <v>132600</v>
      </c>
    </row>
    <row r="32" spans="2:4" ht="12.75">
      <c r="B32" s="60" t="s">
        <v>204</v>
      </c>
      <c r="C32" s="61" t="s">
        <v>213</v>
      </c>
      <c r="D32" s="62">
        <v>421005</v>
      </c>
    </row>
    <row r="33" spans="2:4" ht="12.75">
      <c r="B33" s="60" t="s">
        <v>204</v>
      </c>
      <c r="C33" s="61" t="s">
        <v>214</v>
      </c>
      <c r="D33" s="62">
        <v>541620</v>
      </c>
    </row>
    <row r="34" spans="2:4" ht="12.75">
      <c r="B34" s="60" t="s">
        <v>204</v>
      </c>
      <c r="C34" s="61" t="s">
        <v>215</v>
      </c>
      <c r="D34" s="62">
        <v>113475</v>
      </c>
    </row>
    <row r="35" spans="2:4" ht="12.75">
      <c r="B35" s="60" t="s">
        <v>204</v>
      </c>
      <c r="C35" s="61" t="s">
        <v>216</v>
      </c>
      <c r="D35" s="62">
        <v>481943</v>
      </c>
    </row>
    <row r="36" spans="2:4" ht="12.75">
      <c r="B36" s="60" t="s">
        <v>204</v>
      </c>
      <c r="C36" s="61" t="s">
        <v>217</v>
      </c>
      <c r="D36" s="62">
        <v>7563884</v>
      </c>
    </row>
    <row r="37" spans="2:4" ht="12.75">
      <c r="B37" s="60" t="s">
        <v>204</v>
      </c>
      <c r="C37" s="61" t="s">
        <v>218</v>
      </c>
      <c r="D37" s="62">
        <v>6820383</v>
      </c>
    </row>
    <row r="38" spans="2:4" s="55" customFormat="1" ht="12.75">
      <c r="B38" s="67" t="s">
        <v>1</v>
      </c>
      <c r="C38" s="68"/>
      <c r="D38" s="65">
        <f>SUM(D24:D37)</f>
        <v>69911926</v>
      </c>
    </row>
    <row r="39" spans="2:4" ht="25.5">
      <c r="B39" s="60" t="s">
        <v>219</v>
      </c>
      <c r="C39" s="61" t="s">
        <v>220</v>
      </c>
      <c r="D39" s="62">
        <v>22291</v>
      </c>
    </row>
    <row r="40" spans="2:4" ht="25.5">
      <c r="B40" s="60" t="s">
        <v>219</v>
      </c>
      <c r="C40" s="61" t="s">
        <v>220</v>
      </c>
      <c r="D40" s="62">
        <v>189709</v>
      </c>
    </row>
    <row r="41" spans="2:4" ht="25.5">
      <c r="B41" s="60" t="s">
        <v>219</v>
      </c>
      <c r="C41" s="61" t="s">
        <v>221</v>
      </c>
      <c r="D41" s="62">
        <v>27024</v>
      </c>
    </row>
    <row r="42" spans="2:4" ht="25.5">
      <c r="B42" s="60" t="s">
        <v>219</v>
      </c>
      <c r="C42" s="61" t="s">
        <v>221</v>
      </c>
      <c r="D42" s="62">
        <v>229976</v>
      </c>
    </row>
    <row r="43" spans="2:4" ht="25.5">
      <c r="B43" s="60" t="s">
        <v>219</v>
      </c>
      <c r="C43" s="61" t="s">
        <v>222</v>
      </c>
      <c r="D43" s="62">
        <v>165700</v>
      </c>
    </row>
    <row r="44" spans="2:4" ht="25.5">
      <c r="B44" s="60" t="s">
        <v>219</v>
      </c>
      <c r="C44" s="61" t="s">
        <v>223</v>
      </c>
      <c r="D44" s="62">
        <v>395600</v>
      </c>
    </row>
    <row r="45" spans="2:4" ht="12.75">
      <c r="B45" s="60" t="s">
        <v>224</v>
      </c>
      <c r="C45" s="61" t="s">
        <v>225</v>
      </c>
      <c r="D45" s="62">
        <v>579109</v>
      </c>
    </row>
    <row r="46" spans="2:4" s="55" customFormat="1" ht="12.75">
      <c r="B46" s="67" t="s">
        <v>1</v>
      </c>
      <c r="C46" s="68"/>
      <c r="D46" s="65">
        <f>SUM(D39:D45)</f>
        <v>1609409</v>
      </c>
    </row>
    <row r="47" spans="2:4" ht="25.5">
      <c r="B47" s="60" t="s">
        <v>226</v>
      </c>
      <c r="C47" s="61" t="s">
        <v>227</v>
      </c>
      <c r="D47" s="62">
        <v>1225000</v>
      </c>
    </row>
    <row r="48" spans="2:4" ht="25.5">
      <c r="B48" s="60" t="s">
        <v>228</v>
      </c>
      <c r="C48" s="61" t="s">
        <v>229</v>
      </c>
      <c r="D48" s="62">
        <v>1736445</v>
      </c>
    </row>
    <row r="49" spans="2:4" ht="25.5">
      <c r="B49" s="60" t="s">
        <v>230</v>
      </c>
      <c r="C49" s="61" t="s">
        <v>231</v>
      </c>
      <c r="D49" s="62">
        <f>545249+99751</f>
        <v>645000</v>
      </c>
    </row>
    <row r="50" spans="2:4" ht="25.5">
      <c r="B50" s="60" t="s">
        <v>230</v>
      </c>
      <c r="C50" s="61" t="s">
        <v>232</v>
      </c>
      <c r="D50" s="62">
        <v>4404000</v>
      </c>
    </row>
    <row r="51" spans="2:4" s="55" customFormat="1" ht="12.75">
      <c r="B51" s="67" t="s">
        <v>1</v>
      </c>
      <c r="C51" s="68"/>
      <c r="D51" s="65">
        <f>SUM(D47:D50)</f>
        <v>8010445</v>
      </c>
    </row>
    <row r="52" spans="2:4" s="55" customFormat="1" ht="25.5">
      <c r="B52" s="69" t="s">
        <v>233</v>
      </c>
      <c r="C52" s="61" t="s">
        <v>234</v>
      </c>
      <c r="D52" s="62">
        <f>489119+40346+10589</f>
        <v>540054</v>
      </c>
    </row>
    <row r="53" spans="2:4" ht="25.5">
      <c r="B53" s="69" t="s">
        <v>235</v>
      </c>
      <c r="C53" s="61" t="s">
        <v>236</v>
      </c>
      <c r="D53" s="62">
        <v>125000</v>
      </c>
    </row>
    <row r="54" spans="2:4" ht="25.5">
      <c r="B54" s="69" t="s">
        <v>235</v>
      </c>
      <c r="C54" s="61" t="s">
        <v>237</v>
      </c>
      <c r="D54" s="62">
        <v>146180</v>
      </c>
    </row>
    <row r="55" spans="2:4" ht="25.5">
      <c r="B55" s="69" t="s">
        <v>238</v>
      </c>
      <c r="C55" s="61" t="s">
        <v>239</v>
      </c>
      <c r="D55" s="62">
        <v>150723</v>
      </c>
    </row>
    <row r="56" spans="2:4" ht="12.75">
      <c r="B56" s="67" t="s">
        <v>1</v>
      </c>
      <c r="C56" s="68"/>
      <c r="D56" s="65">
        <f>SUM(D52:D55)</f>
        <v>961957</v>
      </c>
    </row>
    <row r="57" spans="2:4" ht="25.5">
      <c r="B57" s="60" t="s">
        <v>240</v>
      </c>
      <c r="C57" s="61" t="s">
        <v>241</v>
      </c>
      <c r="D57" s="62">
        <v>1435253</v>
      </c>
    </row>
    <row r="58" spans="2:4" ht="25.5">
      <c r="B58" s="60" t="s">
        <v>240</v>
      </c>
      <c r="C58" s="61" t="s">
        <v>242</v>
      </c>
      <c r="D58" s="62">
        <v>164251</v>
      </c>
    </row>
    <row r="59" spans="2:4" ht="25.5">
      <c r="B59" s="60" t="s">
        <v>243</v>
      </c>
      <c r="C59" s="61" t="s">
        <v>244</v>
      </c>
      <c r="D59" s="62">
        <v>239484</v>
      </c>
    </row>
    <row r="60" spans="2:4" ht="25.5">
      <c r="B60" s="60" t="s">
        <v>240</v>
      </c>
      <c r="C60" s="61" t="s">
        <v>245</v>
      </c>
      <c r="D60" s="62">
        <v>589000</v>
      </c>
    </row>
    <row r="61" spans="2:4" ht="12.75">
      <c r="B61" s="60" t="s">
        <v>246</v>
      </c>
      <c r="C61" s="61" t="s">
        <v>247</v>
      </c>
      <c r="D61" s="62">
        <v>237500</v>
      </c>
    </row>
    <row r="62" spans="2:4" ht="12.75">
      <c r="B62" s="67" t="s">
        <v>1</v>
      </c>
      <c r="C62" s="68"/>
      <c r="D62" s="65">
        <f>SUM(D57:D61)</f>
        <v>2665488</v>
      </c>
    </row>
    <row r="63" spans="2:4" ht="12.75">
      <c r="B63" s="70" t="s">
        <v>248</v>
      </c>
      <c r="C63" s="61" t="s">
        <v>249</v>
      </c>
      <c r="D63" s="62">
        <v>121000</v>
      </c>
    </row>
    <row r="64" spans="2:4" ht="12.75">
      <c r="B64" s="67" t="s">
        <v>1</v>
      </c>
      <c r="C64" s="68"/>
      <c r="D64" s="65">
        <f>SUM(D63)</f>
        <v>121000</v>
      </c>
    </row>
    <row r="65" spans="2:4" ht="13.5" thickBot="1">
      <c r="B65" s="517" t="s">
        <v>250</v>
      </c>
      <c r="C65" s="518"/>
      <c r="D65" s="71">
        <f>D11+D13+D16+D18+D21+D23+D38+D46+D51+D56+D62+D64</f>
        <v>88854194</v>
      </c>
    </row>
    <row r="66" spans="2:4" ht="16.5" customHeight="1" thickBot="1">
      <c r="B66" s="72"/>
      <c r="C66" s="73"/>
      <c r="D66" s="74"/>
    </row>
    <row r="67" spans="1:4" ht="13.5" thickTop="1">
      <c r="A67" s="55" t="s">
        <v>251</v>
      </c>
      <c r="B67" s="75" t="s">
        <v>252</v>
      </c>
      <c r="C67" s="76" t="s">
        <v>187</v>
      </c>
      <c r="D67" s="77" t="s">
        <v>188</v>
      </c>
    </row>
    <row r="68" spans="2:4" ht="25.5">
      <c r="B68" s="78" t="s">
        <v>238</v>
      </c>
      <c r="C68" s="61" t="s">
        <v>253</v>
      </c>
      <c r="D68" s="79">
        <v>810000</v>
      </c>
    </row>
    <row r="69" spans="2:4" ht="25.5">
      <c r="B69" s="78" t="s">
        <v>235</v>
      </c>
      <c r="C69" s="61" t="s">
        <v>254</v>
      </c>
      <c r="D69" s="79">
        <v>725625</v>
      </c>
    </row>
    <row r="70" spans="2:4" ht="25.5">
      <c r="B70" s="78" t="s">
        <v>238</v>
      </c>
      <c r="C70" s="61" t="s">
        <v>255</v>
      </c>
      <c r="D70" s="79">
        <v>382575</v>
      </c>
    </row>
    <row r="71" spans="2:4" s="55" customFormat="1" ht="13.5" thickBot="1">
      <c r="B71" s="80" t="s">
        <v>256</v>
      </c>
      <c r="C71" s="81"/>
      <c r="D71" s="82">
        <f>SUM(D68:D70)</f>
        <v>1918200</v>
      </c>
    </row>
    <row r="72" spans="2:4" ht="18" customHeight="1" thickBot="1" thickTop="1">
      <c r="B72" s="72"/>
      <c r="C72" s="73"/>
      <c r="D72" s="74"/>
    </row>
    <row r="73" spans="1:4" ht="13.5" thickTop="1">
      <c r="A73" s="55" t="s">
        <v>257</v>
      </c>
      <c r="B73" s="83" t="s">
        <v>258</v>
      </c>
      <c r="C73" s="76" t="s">
        <v>187</v>
      </c>
      <c r="D73" s="77" t="s">
        <v>188</v>
      </c>
    </row>
    <row r="74" spans="2:4" ht="25.5">
      <c r="B74" s="84" t="s">
        <v>199</v>
      </c>
      <c r="C74" s="61" t="s">
        <v>259</v>
      </c>
      <c r="D74" s="79">
        <f>1879005+37580</f>
        <v>1916585</v>
      </c>
    </row>
    <row r="75" spans="2:4" ht="25.5">
      <c r="B75" s="84" t="s">
        <v>199</v>
      </c>
      <c r="C75" s="61" t="s">
        <v>260</v>
      </c>
      <c r="D75" s="79">
        <f>453556+9071</f>
        <v>462627</v>
      </c>
    </row>
    <row r="76" spans="2:4" ht="13.5" thickBot="1">
      <c r="B76" s="80" t="s">
        <v>256</v>
      </c>
      <c r="C76" s="81"/>
      <c r="D76" s="82">
        <f>SUM(D74:D75)</f>
        <v>2379212</v>
      </c>
    </row>
    <row r="77" spans="2:4" ht="18" customHeight="1" thickBot="1" thickTop="1">
      <c r="B77" s="72"/>
      <c r="C77" s="73"/>
      <c r="D77" s="74"/>
    </row>
    <row r="78" spans="1:4" ht="13.5" thickTop="1">
      <c r="A78" s="55" t="s">
        <v>261</v>
      </c>
      <c r="B78" s="85" t="s">
        <v>262</v>
      </c>
      <c r="C78" s="76" t="s">
        <v>187</v>
      </c>
      <c r="D78" s="77" t="s">
        <v>188</v>
      </c>
    </row>
    <row r="79" spans="2:4" ht="12.75">
      <c r="B79" s="84" t="s">
        <v>246</v>
      </c>
      <c r="C79" s="61" t="s">
        <v>263</v>
      </c>
      <c r="D79" s="79">
        <v>218000</v>
      </c>
    </row>
    <row r="80" spans="2:4" ht="13.5" thickBot="1">
      <c r="B80" s="80" t="s">
        <v>256</v>
      </c>
      <c r="C80" s="81"/>
      <c r="D80" s="82">
        <f>SUM(D78:D79)</f>
        <v>218000</v>
      </c>
    </row>
    <row r="81" spans="2:4" ht="14.25" thickBot="1" thickTop="1">
      <c r="B81" s="86"/>
      <c r="C81" s="87"/>
      <c r="D81" s="88"/>
    </row>
    <row r="82" spans="1:4" ht="13.5" thickTop="1">
      <c r="A82" s="55" t="s">
        <v>264</v>
      </c>
      <c r="B82" s="89" t="s">
        <v>265</v>
      </c>
      <c r="C82" s="90" t="s">
        <v>187</v>
      </c>
      <c r="D82" s="91" t="s">
        <v>188</v>
      </c>
    </row>
    <row r="83" spans="2:4" ht="25.5">
      <c r="B83" s="84" t="s">
        <v>266</v>
      </c>
      <c r="C83" s="61" t="s">
        <v>267</v>
      </c>
      <c r="D83" s="79">
        <v>2482638</v>
      </c>
    </row>
    <row r="84" spans="2:4" ht="13.5" thickBot="1">
      <c r="B84" s="80" t="s">
        <v>256</v>
      </c>
      <c r="C84" s="81"/>
      <c r="D84" s="82">
        <f>SUM(D82:D83)</f>
        <v>2482638</v>
      </c>
    </row>
    <row r="85" spans="2:4" ht="14.25" thickBot="1" thickTop="1">
      <c r="B85" s="92"/>
      <c r="C85" s="93"/>
      <c r="D85" s="94"/>
    </row>
    <row r="86" spans="1:4" ht="13.5" thickTop="1">
      <c r="A86" s="55" t="s">
        <v>268</v>
      </c>
      <c r="B86" s="89" t="s">
        <v>269</v>
      </c>
      <c r="C86" s="90" t="s">
        <v>187</v>
      </c>
      <c r="D86" s="91" t="s">
        <v>188</v>
      </c>
    </row>
    <row r="87" spans="2:4" ht="12.75">
      <c r="B87" s="84" t="s">
        <v>270</v>
      </c>
      <c r="C87" s="61" t="s">
        <v>271</v>
      </c>
      <c r="D87" s="79">
        <v>712066</v>
      </c>
    </row>
    <row r="88" spans="2:4" ht="13.5" thickBot="1">
      <c r="B88" s="80" t="s">
        <v>256</v>
      </c>
      <c r="C88" s="81"/>
      <c r="D88" s="82">
        <f>SUM(D86:D87)</f>
        <v>712066</v>
      </c>
    </row>
    <row r="89" spans="2:4" ht="14.25" thickBot="1" thickTop="1">
      <c r="B89" s="92"/>
      <c r="C89" s="93"/>
      <c r="D89" s="94"/>
    </row>
    <row r="90" spans="1:4" ht="26.25" thickTop="1">
      <c r="A90" s="55" t="s">
        <v>272</v>
      </c>
      <c r="B90" s="95" t="s">
        <v>273</v>
      </c>
      <c r="C90" s="90" t="s">
        <v>187</v>
      </c>
      <c r="D90" s="91" t="s">
        <v>188</v>
      </c>
    </row>
    <row r="91" spans="2:4" ht="12.75">
      <c r="B91" s="84" t="s">
        <v>274</v>
      </c>
      <c r="C91" s="61" t="s">
        <v>275</v>
      </c>
      <c r="D91" s="79">
        <v>3650000</v>
      </c>
    </row>
    <row r="92" spans="2:4" ht="13.5" thickBot="1">
      <c r="B92" s="80" t="s">
        <v>256</v>
      </c>
      <c r="C92" s="81"/>
      <c r="D92" s="82">
        <f>SUM(D90:D91)</f>
        <v>3650000</v>
      </c>
    </row>
    <row r="93" spans="2:4" ht="27.75" customHeight="1" thickBot="1" thickTop="1">
      <c r="B93" s="72"/>
      <c r="C93" s="73"/>
      <c r="D93" s="74"/>
    </row>
    <row r="94" spans="1:4" ht="14.25" thickBot="1" thickTop="1">
      <c r="A94" s="55" t="s">
        <v>276</v>
      </c>
      <c r="B94" s="96" t="s">
        <v>277</v>
      </c>
      <c r="C94" s="97" t="s">
        <v>187</v>
      </c>
      <c r="D94" s="98" t="s">
        <v>188</v>
      </c>
    </row>
    <row r="95" spans="2:4" ht="13.5" thickTop="1">
      <c r="B95" s="99" t="s">
        <v>204</v>
      </c>
      <c r="C95" s="100" t="s">
        <v>278</v>
      </c>
      <c r="D95" s="101">
        <v>5425557</v>
      </c>
    </row>
    <row r="96" spans="2:4" ht="12.75">
      <c r="B96" s="84" t="s">
        <v>204</v>
      </c>
      <c r="C96" s="61" t="s">
        <v>279</v>
      </c>
      <c r="D96" s="79">
        <v>4218103</v>
      </c>
    </row>
    <row r="97" spans="2:4" ht="12.75">
      <c r="B97" s="84" t="s">
        <v>204</v>
      </c>
      <c r="C97" s="61" t="s">
        <v>280</v>
      </c>
      <c r="D97" s="79">
        <v>507450</v>
      </c>
    </row>
    <row r="98" spans="2:4" ht="12.75">
      <c r="B98" s="84" t="s">
        <v>204</v>
      </c>
      <c r="C98" s="61" t="s">
        <v>281</v>
      </c>
      <c r="D98" s="79">
        <v>672876</v>
      </c>
    </row>
    <row r="99" spans="2:8" ht="12.75">
      <c r="B99" s="84" t="s">
        <v>204</v>
      </c>
      <c r="C99" s="61" t="s">
        <v>282</v>
      </c>
      <c r="D99" s="79">
        <v>146907</v>
      </c>
      <c r="F99" s="102"/>
      <c r="G99" s="102"/>
      <c r="H99" s="102"/>
    </row>
    <row r="100" spans="2:4" ht="12.75">
      <c r="B100" s="84" t="s">
        <v>204</v>
      </c>
      <c r="C100" s="61" t="s">
        <v>283</v>
      </c>
      <c r="D100" s="79">
        <v>227823</v>
      </c>
    </row>
    <row r="101" spans="1:8" s="102" customFormat="1" ht="12.75">
      <c r="A101" s="103"/>
      <c r="B101" s="84" t="s">
        <v>204</v>
      </c>
      <c r="C101" s="61" t="s">
        <v>284</v>
      </c>
      <c r="D101" s="79">
        <v>1351500</v>
      </c>
      <c r="F101" s="59"/>
      <c r="G101" s="59"/>
      <c r="H101" s="59"/>
    </row>
    <row r="102" spans="2:4" ht="12.75">
      <c r="B102" s="84" t="s">
        <v>204</v>
      </c>
      <c r="C102" s="61" t="s">
        <v>285</v>
      </c>
      <c r="D102" s="79">
        <v>1536979</v>
      </c>
    </row>
    <row r="103" spans="2:4" ht="12.75">
      <c r="B103" s="84" t="s">
        <v>204</v>
      </c>
      <c r="C103" s="61" t="s">
        <v>286</v>
      </c>
      <c r="D103" s="79">
        <v>16814203</v>
      </c>
    </row>
    <row r="104" spans="2:4" ht="12.75">
      <c r="B104" s="84" t="s">
        <v>204</v>
      </c>
      <c r="C104" s="61" t="s">
        <v>287</v>
      </c>
      <c r="D104" s="79">
        <v>8607540</v>
      </c>
    </row>
    <row r="105" spans="2:4" ht="12.75">
      <c r="B105" s="104" t="s">
        <v>256</v>
      </c>
      <c r="C105" s="68"/>
      <c r="D105" s="105">
        <f>SUM(D95:D104)</f>
        <v>39508938</v>
      </c>
    </row>
    <row r="106" spans="2:4" ht="12.75">
      <c r="B106" s="84" t="s">
        <v>288</v>
      </c>
      <c r="C106" s="61" t="s">
        <v>289</v>
      </c>
      <c r="D106" s="79">
        <v>4327259</v>
      </c>
    </row>
    <row r="107" spans="2:4" ht="25.5">
      <c r="B107" s="84" t="s">
        <v>202</v>
      </c>
      <c r="C107" s="61" t="s">
        <v>290</v>
      </c>
      <c r="D107" s="79">
        <v>146907</v>
      </c>
    </row>
    <row r="108" spans="2:4" ht="12.75">
      <c r="B108" s="104" t="s">
        <v>256</v>
      </c>
      <c r="C108" s="68"/>
      <c r="D108" s="105">
        <f>SUM(D106:D107)</f>
        <v>4474166</v>
      </c>
    </row>
    <row r="109" spans="2:4" ht="13.5" thickBot="1">
      <c r="B109" s="106" t="s">
        <v>291</v>
      </c>
      <c r="C109" s="107"/>
      <c r="D109" s="108">
        <f>D105+D108</f>
        <v>43983104</v>
      </c>
    </row>
    <row r="110" spans="2:4" ht="27.75" customHeight="1" thickBot="1" thickTop="1">
      <c r="B110" s="72"/>
      <c r="C110" s="73"/>
      <c r="D110" s="74"/>
    </row>
    <row r="111" spans="1:4" ht="13.5" thickTop="1">
      <c r="A111" s="55" t="s">
        <v>292</v>
      </c>
      <c r="B111" s="85" t="s">
        <v>293</v>
      </c>
      <c r="C111" s="76" t="s">
        <v>187</v>
      </c>
      <c r="D111" s="77" t="s">
        <v>188</v>
      </c>
    </row>
    <row r="112" spans="2:4" ht="12.75">
      <c r="B112" s="84" t="s">
        <v>294</v>
      </c>
      <c r="C112" s="61" t="s">
        <v>295</v>
      </c>
      <c r="D112" s="79">
        <v>4950000</v>
      </c>
    </row>
    <row r="113" spans="2:4" ht="12.75">
      <c r="B113" s="104" t="s">
        <v>256</v>
      </c>
      <c r="C113" s="68"/>
      <c r="D113" s="105">
        <f>SUM(D112)</f>
        <v>4950000</v>
      </c>
    </row>
    <row r="114" spans="2:4" ht="25.5">
      <c r="B114" s="84" t="s">
        <v>296</v>
      </c>
      <c r="C114" s="61" t="s">
        <v>297</v>
      </c>
      <c r="D114" s="79">
        <v>7004629</v>
      </c>
    </row>
    <row r="115" spans="2:4" ht="12.75">
      <c r="B115" s="104" t="s">
        <v>256</v>
      </c>
      <c r="C115" s="68"/>
      <c r="D115" s="105">
        <f>SUM(D114)</f>
        <v>7004629</v>
      </c>
    </row>
    <row r="116" spans="2:4" ht="12.75">
      <c r="B116" s="84" t="s">
        <v>298</v>
      </c>
      <c r="C116" s="61" t="s">
        <v>299</v>
      </c>
      <c r="D116" s="79">
        <v>528287</v>
      </c>
    </row>
    <row r="117" spans="2:4" ht="12.75">
      <c r="B117" s="104" t="s">
        <v>256</v>
      </c>
      <c r="C117" s="68"/>
      <c r="D117" s="105">
        <f>SUM(D116)</f>
        <v>528287</v>
      </c>
    </row>
    <row r="118" spans="2:4" ht="12.75">
      <c r="B118" s="84" t="s">
        <v>300</v>
      </c>
      <c r="C118" s="61" t="s">
        <v>301</v>
      </c>
      <c r="D118" s="79">
        <v>378220</v>
      </c>
    </row>
    <row r="119" spans="2:4" ht="12.75">
      <c r="B119" s="104" t="s">
        <v>256</v>
      </c>
      <c r="C119" s="68"/>
      <c r="D119" s="105">
        <f>SUM(D118)</f>
        <v>378220</v>
      </c>
    </row>
    <row r="120" spans="2:8" ht="13.5" thickBot="1">
      <c r="B120" s="106" t="s">
        <v>302</v>
      </c>
      <c r="C120" s="107"/>
      <c r="D120" s="108">
        <f>D113+D115+D117+D119</f>
        <v>12861136</v>
      </c>
      <c r="F120" s="55"/>
      <c r="G120" s="55"/>
      <c r="H120" s="55"/>
    </row>
    <row r="121" spans="2:4" ht="15" customHeight="1" thickBot="1" thickTop="1">
      <c r="B121" s="72"/>
      <c r="C121" s="109"/>
      <c r="D121" s="110"/>
    </row>
    <row r="122" spans="1:8" s="55" customFormat="1" ht="13.5" thickTop="1">
      <c r="A122" s="55" t="s">
        <v>303</v>
      </c>
      <c r="B122" s="111" t="s">
        <v>304</v>
      </c>
      <c r="C122" s="112" t="s">
        <v>187</v>
      </c>
      <c r="D122" s="113" t="s">
        <v>188</v>
      </c>
      <c r="F122" s="59"/>
      <c r="G122" s="59"/>
      <c r="H122" s="59"/>
    </row>
    <row r="123" spans="2:4" ht="25.5">
      <c r="B123" s="84" t="s">
        <v>266</v>
      </c>
      <c r="C123" s="61" t="s">
        <v>305</v>
      </c>
      <c r="D123" s="79">
        <v>38760</v>
      </c>
    </row>
    <row r="124" spans="2:4" ht="25.5">
      <c r="B124" s="84" t="s">
        <v>266</v>
      </c>
      <c r="C124" s="61" t="s">
        <v>305</v>
      </c>
      <c r="D124" s="79">
        <v>537740</v>
      </c>
    </row>
    <row r="125" spans="2:4" ht="25.5">
      <c r="B125" s="84" t="s">
        <v>266</v>
      </c>
      <c r="C125" s="61" t="s">
        <v>306</v>
      </c>
      <c r="D125" s="79">
        <v>38756</v>
      </c>
    </row>
    <row r="126" spans="2:4" ht="25.5">
      <c r="B126" s="84" t="s">
        <v>266</v>
      </c>
      <c r="C126" s="61" t="s">
        <v>306</v>
      </c>
      <c r="D126" s="79">
        <v>537744</v>
      </c>
    </row>
    <row r="127" spans="2:4" ht="25.5">
      <c r="B127" s="84" t="s">
        <v>266</v>
      </c>
      <c r="C127" s="61" t="s">
        <v>307</v>
      </c>
      <c r="D127" s="79">
        <v>38756</v>
      </c>
    </row>
    <row r="128" spans="2:4" ht="25.5">
      <c r="B128" s="84" t="s">
        <v>266</v>
      </c>
      <c r="C128" s="61" t="s">
        <v>307</v>
      </c>
      <c r="D128" s="79">
        <v>537744</v>
      </c>
    </row>
    <row r="129" spans="2:4" ht="25.5">
      <c r="B129" s="84" t="s">
        <v>266</v>
      </c>
      <c r="C129" s="61" t="s">
        <v>308</v>
      </c>
      <c r="D129" s="79">
        <v>38756</v>
      </c>
    </row>
    <row r="130" spans="2:4" ht="25.5">
      <c r="B130" s="84" t="s">
        <v>266</v>
      </c>
      <c r="C130" s="61" t="s">
        <v>308</v>
      </c>
      <c r="D130" s="79">
        <v>537744</v>
      </c>
    </row>
    <row r="131" spans="2:4" ht="25.5">
      <c r="B131" s="84" t="s">
        <v>266</v>
      </c>
      <c r="C131" s="61" t="s">
        <v>309</v>
      </c>
      <c r="D131" s="79">
        <v>579109</v>
      </c>
    </row>
    <row r="132" spans="2:4" ht="12.75">
      <c r="B132" s="84" t="s">
        <v>310</v>
      </c>
      <c r="C132" s="61" t="s">
        <v>225</v>
      </c>
      <c r="D132" s="79">
        <v>579109</v>
      </c>
    </row>
    <row r="133" spans="2:4" ht="12.75">
      <c r="B133" s="84" t="s">
        <v>310</v>
      </c>
      <c r="C133" s="61" t="s">
        <v>311</v>
      </c>
      <c r="D133" s="79">
        <v>579109</v>
      </c>
    </row>
    <row r="134" spans="2:4" ht="12.75">
      <c r="B134" s="84" t="s">
        <v>310</v>
      </c>
      <c r="C134" s="61" t="s">
        <v>312</v>
      </c>
      <c r="D134" s="79">
        <v>579109</v>
      </c>
    </row>
    <row r="135" spans="2:4" ht="12.75">
      <c r="B135" s="84" t="s">
        <v>310</v>
      </c>
      <c r="C135" s="61" t="s">
        <v>313</v>
      </c>
      <c r="D135" s="79">
        <v>579109</v>
      </c>
    </row>
    <row r="136" spans="2:4" ht="12.75">
      <c r="B136" s="84" t="s">
        <v>310</v>
      </c>
      <c r="C136" s="61" t="s">
        <v>314</v>
      </c>
      <c r="D136" s="79">
        <v>579109</v>
      </c>
    </row>
    <row r="137" spans="2:4" ht="12.75">
      <c r="B137" s="84" t="s">
        <v>310</v>
      </c>
      <c r="C137" s="61" t="s">
        <v>315</v>
      </c>
      <c r="D137" s="79">
        <v>579109</v>
      </c>
    </row>
    <row r="138" spans="2:4" ht="12.75">
      <c r="B138" s="84" t="s">
        <v>310</v>
      </c>
      <c r="C138" s="61" t="s">
        <v>316</v>
      </c>
      <c r="D138" s="79">
        <v>579107</v>
      </c>
    </row>
    <row r="139" spans="2:4" ht="12.75">
      <c r="B139" s="114" t="s">
        <v>1</v>
      </c>
      <c r="C139" s="66"/>
      <c r="D139" s="105">
        <f>SUM(D123:D138)</f>
        <v>6938870</v>
      </c>
    </row>
    <row r="140" spans="2:4" ht="13.5" thickBot="1">
      <c r="B140" s="115" t="s">
        <v>317</v>
      </c>
      <c r="C140" s="116"/>
      <c r="D140" s="108">
        <f>SUM(D139)</f>
        <v>6938870</v>
      </c>
    </row>
    <row r="141" spans="2:4" ht="27.75" customHeight="1" thickBot="1" thickTop="1">
      <c r="B141" s="72"/>
      <c r="C141" s="73"/>
      <c r="D141" s="74"/>
    </row>
    <row r="142" spans="1:4" ht="26.25" thickTop="1">
      <c r="A142" s="55" t="s">
        <v>318</v>
      </c>
      <c r="B142" s="75" t="s">
        <v>319</v>
      </c>
      <c r="C142" s="76" t="s">
        <v>187</v>
      </c>
      <c r="D142" s="77" t="s">
        <v>188</v>
      </c>
    </row>
    <row r="143" spans="2:8" ht="12.75">
      <c r="B143" s="84" t="s">
        <v>204</v>
      </c>
      <c r="C143" s="61" t="s">
        <v>320</v>
      </c>
      <c r="D143" s="79">
        <v>13000000</v>
      </c>
      <c r="F143" s="55"/>
      <c r="G143" s="55"/>
      <c r="H143" s="55"/>
    </row>
    <row r="144" spans="2:4" ht="12.75">
      <c r="B144" s="84" t="s">
        <v>204</v>
      </c>
      <c r="C144" s="61" t="s">
        <v>321</v>
      </c>
      <c r="D144" s="79">
        <f>1344000-384000</f>
        <v>960000</v>
      </c>
    </row>
    <row r="145" spans="2:8" s="55" customFormat="1" ht="12.75">
      <c r="B145" s="84" t="s">
        <v>204</v>
      </c>
      <c r="C145" s="61" t="s">
        <v>322</v>
      </c>
      <c r="D145" s="79">
        <v>9983514</v>
      </c>
      <c r="F145" s="59"/>
      <c r="G145" s="59"/>
      <c r="H145" s="59"/>
    </row>
    <row r="146" spans="2:4" ht="12.75">
      <c r="B146" s="84" t="s">
        <v>204</v>
      </c>
      <c r="C146" s="61" t="s">
        <v>323</v>
      </c>
      <c r="D146" s="79">
        <v>49998265</v>
      </c>
    </row>
    <row r="147" spans="2:4" ht="12.75">
      <c r="B147" s="84" t="s">
        <v>204</v>
      </c>
      <c r="C147" s="61" t="s">
        <v>324</v>
      </c>
      <c r="D147" s="79">
        <v>732961</v>
      </c>
    </row>
    <row r="148" spans="2:4" ht="12.75">
      <c r="B148" s="114" t="s">
        <v>1</v>
      </c>
      <c r="C148" s="66"/>
      <c r="D148" s="105">
        <f>SUM(D143:D147)</f>
        <v>74674740</v>
      </c>
    </row>
    <row r="149" spans="2:4" ht="12.75">
      <c r="B149" s="84" t="s">
        <v>325</v>
      </c>
      <c r="C149" s="61" t="s">
        <v>326</v>
      </c>
      <c r="D149" s="79">
        <v>4431250</v>
      </c>
    </row>
    <row r="150" spans="2:4" ht="12.75">
      <c r="B150" s="84" t="s">
        <v>327</v>
      </c>
      <c r="C150" s="61" t="s">
        <v>328</v>
      </c>
      <c r="D150" s="79">
        <v>138819</v>
      </c>
    </row>
    <row r="151" spans="2:4" ht="12.75">
      <c r="B151" s="84" t="s">
        <v>300</v>
      </c>
      <c r="C151" s="61" t="s">
        <v>329</v>
      </c>
      <c r="D151" s="79">
        <v>5246250</v>
      </c>
    </row>
    <row r="152" spans="2:4" ht="12.75">
      <c r="B152" s="114" t="s">
        <v>1</v>
      </c>
      <c r="C152" s="66"/>
      <c r="D152" s="105">
        <f>SUM(D149:D151)</f>
        <v>9816319</v>
      </c>
    </row>
    <row r="153" spans="2:4" ht="29.25" customHeight="1">
      <c r="B153" s="84" t="s">
        <v>266</v>
      </c>
      <c r="C153" s="61" t="s">
        <v>330</v>
      </c>
      <c r="D153" s="79">
        <v>6473844</v>
      </c>
    </row>
    <row r="154" spans="2:4" ht="12.75">
      <c r="B154" s="114" t="s">
        <v>1</v>
      </c>
      <c r="C154" s="66"/>
      <c r="D154" s="105">
        <f>SUM(D153)</f>
        <v>6473844</v>
      </c>
    </row>
    <row r="155" spans="2:4" ht="25.5">
      <c r="B155" s="84" t="s">
        <v>331</v>
      </c>
      <c r="C155" s="61" t="s">
        <v>332</v>
      </c>
      <c r="D155" s="79">
        <v>147748</v>
      </c>
    </row>
    <row r="156" spans="2:4" ht="12.75">
      <c r="B156" s="117" t="s">
        <v>1</v>
      </c>
      <c r="C156" s="118"/>
      <c r="D156" s="119">
        <f>SUM(D155)</f>
        <v>147748</v>
      </c>
    </row>
    <row r="157" spans="2:4" ht="26.25" thickBot="1">
      <c r="B157" s="120" t="s">
        <v>333</v>
      </c>
      <c r="C157" s="121"/>
      <c r="D157" s="108">
        <f>D148+D152+D154+D156</f>
        <v>91112651</v>
      </c>
    </row>
    <row r="158" spans="2:4" ht="16.5" customHeight="1" thickBot="1" thickTop="1">
      <c r="B158" s="72"/>
      <c r="C158" s="73"/>
      <c r="D158" s="74"/>
    </row>
    <row r="159" spans="1:4" ht="39" thickTop="1">
      <c r="A159" s="55" t="s">
        <v>334</v>
      </c>
      <c r="B159" s="122" t="s">
        <v>335</v>
      </c>
      <c r="C159" s="90" t="s">
        <v>187</v>
      </c>
      <c r="D159" s="91" t="s">
        <v>188</v>
      </c>
    </row>
    <row r="160" spans="2:4" ht="12.75">
      <c r="B160" s="123" t="s">
        <v>336</v>
      </c>
      <c r="C160" s="100" t="s">
        <v>337</v>
      </c>
      <c r="D160" s="101">
        <v>669375</v>
      </c>
    </row>
    <row r="161" spans="2:4" ht="13.5" thickBot="1">
      <c r="B161" s="124" t="s">
        <v>1</v>
      </c>
      <c r="C161" s="125"/>
      <c r="D161" s="82">
        <f>SUM(D160)</f>
        <v>669375</v>
      </c>
    </row>
    <row r="162" spans="2:4" ht="15" customHeight="1" thickBot="1" thickTop="1">
      <c r="B162" s="72"/>
      <c r="C162" s="73"/>
      <c r="D162" s="74"/>
    </row>
    <row r="163" spans="1:4" ht="39" thickTop="1">
      <c r="A163" s="55" t="s">
        <v>338</v>
      </c>
      <c r="B163" s="126" t="s">
        <v>339</v>
      </c>
      <c r="C163" s="90" t="s">
        <v>187</v>
      </c>
      <c r="D163" s="91" t="s">
        <v>188</v>
      </c>
    </row>
    <row r="164" spans="2:4" ht="25.5">
      <c r="B164" s="127" t="s">
        <v>199</v>
      </c>
      <c r="C164" s="61" t="s">
        <v>340</v>
      </c>
      <c r="D164" s="79">
        <v>607500</v>
      </c>
    </row>
    <row r="165" spans="2:4" ht="25.5">
      <c r="B165" s="127" t="s">
        <v>199</v>
      </c>
      <c r="C165" s="61" t="s">
        <v>341</v>
      </c>
      <c r="D165" s="79">
        <v>3543700</v>
      </c>
    </row>
    <row r="166" spans="2:4" ht="25.5">
      <c r="B166" s="127" t="s">
        <v>199</v>
      </c>
      <c r="C166" s="61" t="s">
        <v>342</v>
      </c>
      <c r="D166" s="79">
        <v>1361250</v>
      </c>
    </row>
    <row r="167" spans="2:4" ht="25.5">
      <c r="B167" s="127" t="s">
        <v>199</v>
      </c>
      <c r="C167" s="61" t="s">
        <v>343</v>
      </c>
      <c r="D167" s="79">
        <v>2503750</v>
      </c>
    </row>
    <row r="168" spans="2:4" ht="13.5" thickBot="1">
      <c r="B168" s="124" t="s">
        <v>1</v>
      </c>
      <c r="C168" s="125"/>
      <c r="D168" s="82">
        <f>SUM(D164:D167)</f>
        <v>8016200</v>
      </c>
    </row>
    <row r="169" ht="14.25" thickBot="1" thickTop="1"/>
    <row r="170" spans="1:4" ht="13.5" thickTop="1">
      <c r="A170" s="55" t="s">
        <v>344</v>
      </c>
      <c r="B170" s="130" t="s">
        <v>345</v>
      </c>
      <c r="C170" s="131" t="s">
        <v>187</v>
      </c>
      <c r="D170" s="77" t="s">
        <v>346</v>
      </c>
    </row>
    <row r="171" spans="2:4" ht="25.5">
      <c r="B171" s="84" t="s">
        <v>347</v>
      </c>
      <c r="C171" s="61" t="s">
        <v>348</v>
      </c>
      <c r="D171" s="79">
        <v>747800</v>
      </c>
    </row>
    <row r="172" spans="2:4" ht="25.5">
      <c r="B172" s="84" t="s">
        <v>347</v>
      </c>
      <c r="C172" s="61" t="s">
        <v>349</v>
      </c>
      <c r="D172" s="79">
        <v>701250</v>
      </c>
    </row>
    <row r="173" spans="2:4" s="55" customFormat="1" ht="25.5">
      <c r="B173" s="84" t="s">
        <v>347</v>
      </c>
      <c r="C173" s="61" t="s">
        <v>350</v>
      </c>
      <c r="D173" s="79">
        <v>235008</v>
      </c>
    </row>
    <row r="174" spans="2:4" ht="25.5">
      <c r="B174" s="84" t="s">
        <v>347</v>
      </c>
      <c r="C174" s="61" t="s">
        <v>351</v>
      </c>
      <c r="D174" s="79">
        <v>76500000</v>
      </c>
    </row>
    <row r="175" spans="2:4" ht="25.5">
      <c r="B175" s="84" t="s">
        <v>347</v>
      </c>
      <c r="C175" s="61" t="s">
        <v>351</v>
      </c>
      <c r="D175" s="79">
        <v>178500000</v>
      </c>
    </row>
    <row r="176" spans="2:4" ht="25.5">
      <c r="B176" s="84" t="s">
        <v>347</v>
      </c>
      <c r="C176" s="61" t="s">
        <v>352</v>
      </c>
      <c r="D176" s="79">
        <v>37638000</v>
      </c>
    </row>
    <row r="177" spans="1:4" s="133" customFormat="1" ht="25.5">
      <c r="A177" s="132"/>
      <c r="B177" s="84" t="s">
        <v>347</v>
      </c>
      <c r="C177" s="61" t="s">
        <v>353</v>
      </c>
      <c r="D177" s="79">
        <v>3570000</v>
      </c>
    </row>
    <row r="178" spans="2:4" ht="13.5" thickBot="1">
      <c r="B178" s="104" t="s">
        <v>256</v>
      </c>
      <c r="C178" s="68"/>
      <c r="D178" s="105">
        <f>SUM(D171:D177)</f>
        <v>297892058</v>
      </c>
    </row>
    <row r="179" spans="2:4" ht="20.25" customHeight="1" thickBot="1" thickTop="1">
      <c r="B179" s="134" t="s">
        <v>354</v>
      </c>
      <c r="C179" s="134"/>
      <c r="D179" s="135">
        <f>SUM(D178)</f>
        <v>297892058</v>
      </c>
    </row>
    <row r="180" spans="2:4" ht="27.75" customHeight="1" thickBot="1" thickTop="1">
      <c r="B180" s="72"/>
      <c r="C180" s="73"/>
      <c r="D180" s="74"/>
    </row>
    <row r="181" spans="1:4" ht="30.75" customHeight="1" thickBot="1" thickTop="1">
      <c r="A181" s="55" t="s">
        <v>355</v>
      </c>
      <c r="B181" s="136" t="s">
        <v>356</v>
      </c>
      <c r="C181" s="137" t="s">
        <v>187</v>
      </c>
      <c r="D181" s="138" t="s">
        <v>346</v>
      </c>
    </row>
    <row r="182" spans="2:4" ht="13.5" thickTop="1">
      <c r="B182" s="84" t="s">
        <v>357</v>
      </c>
      <c r="C182" s="61" t="s">
        <v>358</v>
      </c>
      <c r="D182" s="79">
        <v>89250000</v>
      </c>
    </row>
    <row r="183" spans="2:4" ht="15" customHeight="1">
      <c r="B183" s="84" t="s">
        <v>359</v>
      </c>
      <c r="C183" s="61" t="s">
        <v>360</v>
      </c>
      <c r="D183" s="79">
        <v>2803531</v>
      </c>
    </row>
    <row r="184" spans="2:4" ht="12.75">
      <c r="B184" s="84" t="s">
        <v>359</v>
      </c>
      <c r="C184" s="61" t="s">
        <v>360</v>
      </c>
      <c r="D184" s="79">
        <v>18133969</v>
      </c>
    </row>
    <row r="185" spans="2:4" ht="12.75">
      <c r="B185" s="84" t="s">
        <v>359</v>
      </c>
      <c r="C185" s="61" t="s">
        <v>360</v>
      </c>
      <c r="D185" s="79">
        <v>22735125</v>
      </c>
    </row>
    <row r="186" spans="2:4" ht="12.75">
      <c r="B186" s="84" t="s">
        <v>359</v>
      </c>
      <c r="C186" s="61" t="s">
        <v>361</v>
      </c>
      <c r="D186" s="79">
        <v>129048900</v>
      </c>
    </row>
    <row r="187" spans="2:4" ht="12.75">
      <c r="B187" s="84" t="s">
        <v>359</v>
      </c>
      <c r="C187" s="61" t="s">
        <v>360</v>
      </c>
      <c r="D187" s="79">
        <v>18133969</v>
      </c>
    </row>
    <row r="188" spans="2:4" ht="12.75">
      <c r="B188" s="84" t="s">
        <v>359</v>
      </c>
      <c r="C188" s="61" t="s">
        <v>360</v>
      </c>
      <c r="D188" s="79">
        <v>2803531</v>
      </c>
    </row>
    <row r="189" spans="2:4" ht="12.75">
      <c r="B189" s="84" t="s">
        <v>359</v>
      </c>
      <c r="C189" s="61" t="s">
        <v>362</v>
      </c>
      <c r="D189" s="79">
        <v>6561100</v>
      </c>
    </row>
    <row r="190" spans="2:4" ht="12.75">
      <c r="B190" s="84" t="s">
        <v>359</v>
      </c>
      <c r="C190" s="61" t="s">
        <v>363</v>
      </c>
      <c r="D190" s="79">
        <v>42438900</v>
      </c>
    </row>
    <row r="191" spans="2:4" ht="12.75">
      <c r="B191" s="84" t="s">
        <v>359</v>
      </c>
      <c r="C191" s="61" t="s">
        <v>360</v>
      </c>
      <c r="D191" s="79">
        <v>3514875</v>
      </c>
    </row>
    <row r="192" spans="2:4" ht="12.75">
      <c r="B192" s="84" t="s">
        <v>359</v>
      </c>
      <c r="C192" s="61" t="s">
        <v>360</v>
      </c>
      <c r="D192" s="79">
        <v>13532813</v>
      </c>
    </row>
    <row r="193" spans="2:4" ht="12.75">
      <c r="B193" s="84" t="s">
        <v>359</v>
      </c>
      <c r="C193" s="61" t="s">
        <v>360</v>
      </c>
      <c r="D193" s="79">
        <v>2092188</v>
      </c>
    </row>
    <row r="194" spans="2:4" ht="12.75">
      <c r="B194" s="84" t="s">
        <v>359</v>
      </c>
      <c r="C194" s="61" t="s">
        <v>360</v>
      </c>
      <c r="D194" s="79">
        <v>19951100</v>
      </c>
    </row>
    <row r="195" spans="2:4" ht="12.75">
      <c r="B195" s="84" t="s">
        <v>359</v>
      </c>
      <c r="C195" s="61" t="s">
        <v>351</v>
      </c>
      <c r="D195" s="79">
        <v>9960150</v>
      </c>
    </row>
    <row r="196" spans="2:4" ht="12.75">
      <c r="B196" s="84" t="s">
        <v>359</v>
      </c>
      <c r="C196" s="61" t="s">
        <v>351</v>
      </c>
      <c r="D196" s="79">
        <v>1539850</v>
      </c>
    </row>
    <row r="197" spans="2:4" ht="12.75">
      <c r="B197" s="84" t="s">
        <v>359</v>
      </c>
      <c r="C197" s="61" t="s">
        <v>351</v>
      </c>
      <c r="D197" s="79">
        <v>64740975</v>
      </c>
    </row>
    <row r="198" spans="2:4" ht="12.75">
      <c r="B198" s="84" t="s">
        <v>359</v>
      </c>
      <c r="C198" s="61" t="s">
        <v>351</v>
      </c>
      <c r="D198" s="79">
        <v>10009025</v>
      </c>
    </row>
    <row r="199" spans="2:4" ht="12.75">
      <c r="B199" s="84" t="s">
        <v>359</v>
      </c>
      <c r="C199" s="61" t="s">
        <v>351</v>
      </c>
      <c r="D199" s="79">
        <v>36809250</v>
      </c>
    </row>
    <row r="200" spans="2:4" ht="12.75">
      <c r="B200" s="84" t="s">
        <v>359</v>
      </c>
      <c r="C200" s="61" t="s">
        <v>351</v>
      </c>
      <c r="D200" s="79">
        <v>5690750</v>
      </c>
    </row>
    <row r="201" spans="2:4" ht="12.75">
      <c r="B201" s="84" t="s">
        <v>359</v>
      </c>
      <c r="C201" s="61" t="s">
        <v>351</v>
      </c>
      <c r="D201" s="79">
        <v>3682250</v>
      </c>
    </row>
    <row r="202" spans="2:4" ht="12.75">
      <c r="B202" s="84" t="s">
        <v>359</v>
      </c>
      <c r="C202" s="61" t="s">
        <v>351</v>
      </c>
      <c r="D202" s="79">
        <v>23817750</v>
      </c>
    </row>
    <row r="203" spans="2:4" ht="12.75">
      <c r="B203" s="84" t="s">
        <v>359</v>
      </c>
      <c r="C203" s="61" t="s">
        <v>351</v>
      </c>
      <c r="D203" s="79">
        <v>3849625</v>
      </c>
    </row>
    <row r="204" spans="2:4" ht="12.75">
      <c r="B204" s="84" t="s">
        <v>359</v>
      </c>
      <c r="C204" s="61" t="s">
        <v>351</v>
      </c>
      <c r="D204" s="79">
        <v>24900375</v>
      </c>
    </row>
    <row r="205" spans="2:4" ht="12.75">
      <c r="B205" s="84" t="s">
        <v>359</v>
      </c>
      <c r="C205" s="61" t="s">
        <v>351</v>
      </c>
      <c r="D205" s="79">
        <v>9707750</v>
      </c>
    </row>
    <row r="206" spans="2:4" ht="12.75">
      <c r="B206" s="84" t="s">
        <v>359</v>
      </c>
      <c r="C206" s="61" t="s">
        <v>351</v>
      </c>
      <c r="D206" s="79">
        <v>7029750</v>
      </c>
    </row>
    <row r="207" spans="2:4" ht="12.75">
      <c r="B207" s="84" t="s">
        <v>359</v>
      </c>
      <c r="C207" s="61" t="s">
        <v>351</v>
      </c>
      <c r="D207" s="79">
        <v>62792250</v>
      </c>
    </row>
    <row r="208" spans="2:4" ht="12.75">
      <c r="B208" s="84" t="s">
        <v>359</v>
      </c>
      <c r="C208" s="61" t="s">
        <v>351</v>
      </c>
      <c r="D208" s="79">
        <v>45470250</v>
      </c>
    </row>
    <row r="209" spans="2:6" ht="12.75">
      <c r="B209" s="84" t="s">
        <v>357</v>
      </c>
      <c r="C209" s="61" t="s">
        <v>364</v>
      </c>
      <c r="D209" s="79">
        <v>4442292</v>
      </c>
      <c r="F209" s="129"/>
    </row>
    <row r="210" spans="2:8" ht="12.75">
      <c r="B210" s="84" t="s">
        <v>357</v>
      </c>
      <c r="C210" s="61" t="s">
        <v>365</v>
      </c>
      <c r="D210" s="79">
        <v>35624604</v>
      </c>
      <c r="F210" s="129"/>
      <c r="H210" s="129"/>
    </row>
    <row r="211" spans="2:4" ht="12.75">
      <c r="B211" s="84" t="s">
        <v>359</v>
      </c>
      <c r="C211" s="61" t="s">
        <v>366</v>
      </c>
      <c r="D211" s="79">
        <v>4578805</v>
      </c>
    </row>
    <row r="212" spans="2:4" ht="12.75">
      <c r="B212" s="84" t="s">
        <v>359</v>
      </c>
      <c r="C212" s="61" t="s">
        <v>367</v>
      </c>
      <c r="D212" s="79">
        <v>14981250</v>
      </c>
    </row>
    <row r="213" spans="2:4" ht="12.75">
      <c r="B213" s="84" t="s">
        <v>357</v>
      </c>
      <c r="C213" s="61" t="s">
        <v>368</v>
      </c>
      <c r="D213" s="79">
        <v>20875248</v>
      </c>
    </row>
    <row r="214" spans="2:6" ht="12.75">
      <c r="B214" s="84" t="s">
        <v>359</v>
      </c>
      <c r="C214" s="61" t="s">
        <v>369</v>
      </c>
      <c r="D214" s="79">
        <v>2167500</v>
      </c>
      <c r="F214" s="129"/>
    </row>
    <row r="215" spans="2:4" ht="12.75">
      <c r="B215" s="84" t="s">
        <v>359</v>
      </c>
      <c r="C215" s="61" t="s">
        <v>370</v>
      </c>
      <c r="D215" s="79">
        <v>19925878</v>
      </c>
    </row>
    <row r="216" spans="2:4" ht="12.75">
      <c r="B216" s="84" t="s">
        <v>359</v>
      </c>
      <c r="C216" s="61" t="s">
        <v>371</v>
      </c>
      <c r="D216" s="79">
        <v>8183736</v>
      </c>
    </row>
    <row r="217" spans="2:4" ht="12.75">
      <c r="B217" s="84" t="s">
        <v>359</v>
      </c>
      <c r="C217" s="61" t="s">
        <v>372</v>
      </c>
      <c r="D217" s="79">
        <v>28585421</v>
      </c>
    </row>
    <row r="218" spans="2:4" ht="13.5" thickBot="1">
      <c r="B218" s="104" t="s">
        <v>256</v>
      </c>
      <c r="C218" s="68"/>
      <c r="D218" s="105">
        <f>SUM(D182:D217)</f>
        <v>820364735</v>
      </c>
    </row>
    <row r="219" spans="2:4" ht="18" customHeight="1" thickBot="1" thickTop="1">
      <c r="B219" s="134" t="s">
        <v>373</v>
      </c>
      <c r="C219" s="134"/>
      <c r="D219" s="135">
        <f>SUM(D218)</f>
        <v>820364735</v>
      </c>
    </row>
    <row r="220" ht="14.25" thickBot="1" thickTop="1"/>
    <row r="221" spans="1:4" ht="13.5" thickTop="1">
      <c r="A221" s="55" t="s">
        <v>374</v>
      </c>
      <c r="B221" s="130" t="s">
        <v>375</v>
      </c>
      <c r="C221" s="76" t="s">
        <v>187</v>
      </c>
      <c r="D221" s="77" t="s">
        <v>188</v>
      </c>
    </row>
    <row r="222" spans="2:4" ht="12.75">
      <c r="B222" s="84" t="s">
        <v>376</v>
      </c>
      <c r="C222" s="61" t="s">
        <v>377</v>
      </c>
      <c r="D222" s="79">
        <v>56453</v>
      </c>
    </row>
    <row r="223" spans="2:4" ht="12.75">
      <c r="B223" s="84" t="s">
        <v>376</v>
      </c>
      <c r="C223" s="61" t="s">
        <v>377</v>
      </c>
      <c r="D223" s="79">
        <v>386561</v>
      </c>
    </row>
    <row r="224" spans="2:4" ht="13.5" thickBot="1">
      <c r="B224" s="80" t="s">
        <v>256</v>
      </c>
      <c r="C224" s="81"/>
      <c r="D224" s="82">
        <f>SUM(D222:D223)</f>
        <v>443014</v>
      </c>
    </row>
    <row r="225" spans="2:4" ht="14.25" thickBot="1" thickTop="1">
      <c r="B225" s="519" t="s">
        <v>378</v>
      </c>
      <c r="C225" s="520"/>
      <c r="D225" s="139">
        <f>D65+D71+D76+D80+D224+D179+D219+D84+D88+D92+D109+D120+D140+D157+D161+D168</f>
        <v>1382495453</v>
      </c>
    </row>
    <row r="226" ht="13.5" thickTop="1"/>
  </sheetData>
  <sheetProtection password="EE36" sheet="1" formatCells="0" formatColumns="0" formatRows="0" insertColumns="0" insertRows="0" insertHyperlinks="0" deleteColumns="0" deleteRows="0" sort="0" autoFilter="0" pivotTables="0"/>
  <mergeCells count="8">
    <mergeCell ref="C1:D1"/>
    <mergeCell ref="B7:D7"/>
    <mergeCell ref="B8:D8"/>
    <mergeCell ref="B65:C65"/>
    <mergeCell ref="B225:C225"/>
    <mergeCell ref="B4:C4"/>
    <mergeCell ref="B2:C3"/>
    <mergeCell ref="B5:C5"/>
  </mergeCells>
  <printOptions horizontalCentered="1" verticalCentered="1"/>
  <pageMargins left="0.2362204724409449" right="0.2362204724409449" top="0.3937007874015748" bottom="0.3937007874015748" header="0" footer="0"/>
  <pageSetup fitToHeight="4" fitToWidth="1" horizontalDpi="600" verticalDpi="600" orientation="portrait" paperSize="9" scale="73"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200"/>
  <sheetViews>
    <sheetView zoomScalePageLayoutView="0" workbookViewId="0" topLeftCell="A1">
      <selection activeCell="C15" sqref="C15"/>
    </sheetView>
  </sheetViews>
  <sheetFormatPr defaultColWidth="9.140625" defaultRowHeight="12.75"/>
  <cols>
    <col min="1" max="1" width="5.8515625" style="140" bestFit="1" customWidth="1"/>
    <col min="2" max="2" width="51.140625" style="141" customWidth="1"/>
    <col min="3" max="3" width="40.00390625" style="141" bestFit="1" customWidth="1"/>
    <col min="4" max="4" width="10.7109375" style="142" customWidth="1"/>
    <col min="5" max="16384" width="9.140625" style="142" customWidth="1"/>
  </cols>
  <sheetData>
    <row r="1" spans="1:4" s="59" customFormat="1" ht="12.75" customHeight="1">
      <c r="A1" s="55"/>
      <c r="B1" s="128"/>
      <c r="C1" s="514" t="s">
        <v>467</v>
      </c>
      <c r="D1" s="514"/>
    </row>
    <row r="2" spans="1:4" s="59" customFormat="1" ht="12.75" customHeight="1">
      <c r="A2" s="55"/>
      <c r="B2" s="522" t="s">
        <v>69</v>
      </c>
      <c r="C2" s="522"/>
      <c r="D2" s="129"/>
    </row>
    <row r="3" spans="1:4" s="59" customFormat="1" ht="12.75">
      <c r="A3" s="55"/>
      <c r="B3" s="522"/>
      <c r="C3" s="522"/>
      <c r="D3" s="129"/>
    </row>
    <row r="4" spans="1:4" s="59" customFormat="1" ht="15.75">
      <c r="A4" s="55"/>
      <c r="B4" s="521" t="s">
        <v>116</v>
      </c>
      <c r="C4" s="521"/>
      <c r="D4" s="129"/>
    </row>
    <row r="5" spans="1:4" s="59" customFormat="1" ht="15.75">
      <c r="A5" s="55"/>
      <c r="B5" s="523" t="s">
        <v>70</v>
      </c>
      <c r="C5" s="523"/>
      <c r="D5" s="129"/>
    </row>
    <row r="7" spans="2:4" ht="12">
      <c r="B7" s="528" t="s">
        <v>468</v>
      </c>
      <c r="C7" s="528"/>
      <c r="D7" s="528"/>
    </row>
    <row r="8" spans="1:4" s="147" customFormat="1" ht="12">
      <c r="A8" s="143" t="s">
        <v>380</v>
      </c>
      <c r="B8" s="144"/>
      <c r="C8" s="145"/>
      <c r="D8" s="146"/>
    </row>
    <row r="9" spans="1:4" s="149" customFormat="1" ht="24.75" customHeight="1">
      <c r="A9" s="148"/>
      <c r="B9" s="529" t="s">
        <v>381</v>
      </c>
      <c r="C9" s="530"/>
      <c r="D9" s="531"/>
    </row>
    <row r="10" spans="1:4" s="149" customFormat="1" ht="12">
      <c r="A10" s="148" t="s">
        <v>382</v>
      </c>
      <c r="B10" s="150" t="s">
        <v>186</v>
      </c>
      <c r="C10" s="151" t="s">
        <v>187</v>
      </c>
      <c r="D10" s="152" t="s">
        <v>470</v>
      </c>
    </row>
    <row r="11" spans="2:4" ht="12">
      <c r="B11" s="153" t="s">
        <v>384</v>
      </c>
      <c r="C11" s="153" t="s">
        <v>385</v>
      </c>
      <c r="D11" s="154">
        <v>449063</v>
      </c>
    </row>
    <row r="12" spans="2:4" ht="12">
      <c r="B12" s="155" t="s">
        <v>1</v>
      </c>
      <c r="C12" s="156"/>
      <c r="D12" s="157">
        <f>SUM(D11)</f>
        <v>449063</v>
      </c>
    </row>
    <row r="13" spans="2:4" ht="24">
      <c r="B13" s="158" t="s">
        <v>386</v>
      </c>
      <c r="C13" s="153" t="s">
        <v>387</v>
      </c>
      <c r="D13" s="154">
        <v>122136</v>
      </c>
    </row>
    <row r="14" spans="2:4" ht="24">
      <c r="B14" s="158" t="s">
        <v>386</v>
      </c>
      <c r="C14" s="153" t="s">
        <v>385</v>
      </c>
      <c r="D14" s="154">
        <v>450000</v>
      </c>
    </row>
    <row r="15" spans="2:4" ht="12">
      <c r="B15" s="155" t="s">
        <v>1</v>
      </c>
      <c r="C15" s="156"/>
      <c r="D15" s="157">
        <f>SUM(D13:D14)</f>
        <v>572136</v>
      </c>
    </row>
    <row r="16" spans="2:4" ht="12">
      <c r="B16" s="159" t="s">
        <v>388</v>
      </c>
      <c r="C16" s="153" t="s">
        <v>389</v>
      </c>
      <c r="D16" s="154">
        <v>514716</v>
      </c>
    </row>
    <row r="17" spans="2:4" ht="12">
      <c r="B17" s="155" t="s">
        <v>1</v>
      </c>
      <c r="C17" s="156"/>
      <c r="D17" s="157">
        <f>SUM(D16)</f>
        <v>514716</v>
      </c>
    </row>
    <row r="18" spans="2:4" ht="24">
      <c r="B18" s="158" t="s">
        <v>390</v>
      </c>
      <c r="C18" s="153" t="s">
        <v>391</v>
      </c>
      <c r="D18" s="154">
        <v>448612</v>
      </c>
    </row>
    <row r="19" spans="2:4" ht="24">
      <c r="B19" s="158" t="s">
        <v>390</v>
      </c>
      <c r="C19" s="153" t="s">
        <v>392</v>
      </c>
      <c r="D19" s="154">
        <f>48351+48988+49007+49413+49374+46408+47339+47578+235937+48429-47339</f>
        <v>623485</v>
      </c>
    </row>
    <row r="20" spans="2:4" ht="12">
      <c r="B20" s="155" t="s">
        <v>1</v>
      </c>
      <c r="C20" s="156"/>
      <c r="D20" s="157">
        <f>SUM(D18:D19)</f>
        <v>1072097</v>
      </c>
    </row>
    <row r="21" spans="2:4" ht="24">
      <c r="B21" s="158" t="s">
        <v>393</v>
      </c>
      <c r="C21" s="153" t="s">
        <v>394</v>
      </c>
      <c r="D21" s="154">
        <v>2031000</v>
      </c>
    </row>
    <row r="22" spans="2:4" ht="24">
      <c r="B22" s="158" t="s">
        <v>393</v>
      </c>
      <c r="C22" s="153" t="s">
        <v>395</v>
      </c>
      <c r="D22" s="154">
        <f>8122885+1905492</f>
        <v>10028377</v>
      </c>
    </row>
    <row r="23" spans="2:4" ht="12">
      <c r="B23" s="155" t="s">
        <v>1</v>
      </c>
      <c r="C23" s="156"/>
      <c r="D23" s="157">
        <f>SUM(D21:D22)</f>
        <v>12059377</v>
      </c>
    </row>
    <row r="24" spans="2:4" ht="12">
      <c r="B24" s="153" t="s">
        <v>396</v>
      </c>
      <c r="C24" s="153" t="s">
        <v>397</v>
      </c>
      <c r="D24" s="154">
        <v>160000</v>
      </c>
    </row>
    <row r="25" spans="2:4" ht="12.75" customHeight="1">
      <c r="B25" s="153" t="s">
        <v>396</v>
      </c>
      <c r="C25" s="153" t="s">
        <v>387</v>
      </c>
      <c r="D25" s="154">
        <f>194009+92553</f>
        <v>286562</v>
      </c>
    </row>
    <row r="26" spans="2:4" ht="12">
      <c r="B26" s="155" t="s">
        <v>1</v>
      </c>
      <c r="C26" s="156"/>
      <c r="D26" s="157">
        <f>SUM(D24:D25)</f>
        <v>446562</v>
      </c>
    </row>
    <row r="27" spans="2:4" ht="12">
      <c r="B27" s="527"/>
      <c r="C27" s="527"/>
      <c r="D27" s="160">
        <f>D12+D15+D17+D20+D23+D26</f>
        <v>15113951</v>
      </c>
    </row>
    <row r="29" spans="1:4" ht="12">
      <c r="A29" s="140" t="s">
        <v>398</v>
      </c>
      <c r="B29" s="161" t="s">
        <v>399</v>
      </c>
      <c r="C29" s="161" t="s">
        <v>187</v>
      </c>
      <c r="D29" s="162" t="s">
        <v>383</v>
      </c>
    </row>
    <row r="30" spans="1:4" s="149" customFormat="1" ht="15.75" customHeight="1">
      <c r="A30" s="148"/>
      <c r="B30" s="159" t="s">
        <v>400</v>
      </c>
      <c r="C30" s="159" t="s">
        <v>401</v>
      </c>
      <c r="D30" s="163">
        <v>2176750</v>
      </c>
    </row>
    <row r="31" spans="2:4" s="148" customFormat="1" ht="15.75" customHeight="1">
      <c r="B31" s="155" t="s">
        <v>1</v>
      </c>
      <c r="C31" s="164"/>
      <c r="D31" s="165">
        <f>SUM(D30)</f>
        <v>2176750</v>
      </c>
    </row>
    <row r="32" spans="2:4" ht="12">
      <c r="B32" s="159" t="s">
        <v>402</v>
      </c>
      <c r="C32" s="159" t="s">
        <v>401</v>
      </c>
      <c r="D32" s="154">
        <v>465700</v>
      </c>
    </row>
    <row r="33" spans="2:4" ht="12">
      <c r="B33" s="155" t="s">
        <v>1</v>
      </c>
      <c r="C33" s="166"/>
      <c r="D33" s="157">
        <f>SUM(D32)</f>
        <v>465700</v>
      </c>
    </row>
    <row r="34" spans="2:4" ht="12">
      <c r="B34" s="159" t="s">
        <v>403</v>
      </c>
      <c r="C34" s="159" t="s">
        <v>401</v>
      </c>
      <c r="D34" s="154">
        <f>353333+335000+86375+425250+162375+165875+496125</f>
        <v>2024333</v>
      </c>
    </row>
    <row r="35" spans="2:4" ht="12">
      <c r="B35" s="155" t="s">
        <v>1</v>
      </c>
      <c r="C35" s="166"/>
      <c r="D35" s="157">
        <f>SUM(D34)</f>
        <v>2024333</v>
      </c>
    </row>
    <row r="36" spans="2:4" ht="12">
      <c r="B36" s="159" t="s">
        <v>388</v>
      </c>
      <c r="C36" s="159" t="s">
        <v>401</v>
      </c>
      <c r="D36" s="154">
        <v>258500</v>
      </c>
    </row>
    <row r="37" spans="2:4" ht="12">
      <c r="B37" s="155" t="s">
        <v>1</v>
      </c>
      <c r="C37" s="166"/>
      <c r="D37" s="157">
        <f>SUM(D36)</f>
        <v>258500</v>
      </c>
    </row>
    <row r="38" spans="2:4" ht="12">
      <c r="B38" s="159" t="s">
        <v>404</v>
      </c>
      <c r="C38" s="159" t="s">
        <v>401</v>
      </c>
      <c r="D38" s="154">
        <v>2450000</v>
      </c>
    </row>
    <row r="39" spans="2:4" ht="12">
      <c r="B39" s="155" t="s">
        <v>1</v>
      </c>
      <c r="C39" s="166"/>
      <c r="D39" s="157">
        <f>SUM(D38)</f>
        <v>2450000</v>
      </c>
    </row>
    <row r="40" spans="2:4" ht="12">
      <c r="B40" s="159" t="s">
        <v>405</v>
      </c>
      <c r="C40" s="159" t="s">
        <v>401</v>
      </c>
      <c r="D40" s="154">
        <f>149900+166875+149900</f>
        <v>466675</v>
      </c>
    </row>
    <row r="41" spans="2:4" ht="12">
      <c r="B41" s="155" t="s">
        <v>1</v>
      </c>
      <c r="C41" s="166"/>
      <c r="D41" s="157">
        <f>SUM(D40)</f>
        <v>466675</v>
      </c>
    </row>
    <row r="42" spans="2:4" ht="12">
      <c r="B42" s="159" t="s">
        <v>406</v>
      </c>
      <c r="C42" s="159" t="s">
        <v>401</v>
      </c>
      <c r="D42" s="154">
        <f>321375+389033+285550</f>
        <v>995958</v>
      </c>
    </row>
    <row r="43" spans="2:4" ht="12">
      <c r="B43" s="155" t="s">
        <v>1</v>
      </c>
      <c r="C43" s="166"/>
      <c r="D43" s="157">
        <f>SUM(D42)</f>
        <v>995958</v>
      </c>
    </row>
    <row r="44" spans="2:4" ht="12">
      <c r="B44" s="159" t="s">
        <v>407</v>
      </c>
      <c r="C44" s="159" t="s">
        <v>401</v>
      </c>
      <c r="D44" s="154">
        <v>1199674</v>
      </c>
    </row>
    <row r="45" spans="2:4" ht="12">
      <c r="B45" s="155" t="s">
        <v>1</v>
      </c>
      <c r="C45" s="166"/>
      <c r="D45" s="157">
        <f>SUM(D44)</f>
        <v>1199674</v>
      </c>
    </row>
    <row r="46" spans="2:4" ht="12">
      <c r="B46" s="159" t="s">
        <v>408</v>
      </c>
      <c r="C46" s="159" t="s">
        <v>401</v>
      </c>
      <c r="D46" s="154">
        <f>193340+13820+209900+32990+199950</f>
        <v>650000</v>
      </c>
    </row>
    <row r="47" spans="2:4" ht="12">
      <c r="B47" s="155" t="s">
        <v>1</v>
      </c>
      <c r="C47" s="166"/>
      <c r="D47" s="157">
        <f>SUM(D46)</f>
        <v>650000</v>
      </c>
    </row>
    <row r="48" spans="2:4" ht="12">
      <c r="B48" s="159" t="s">
        <v>409</v>
      </c>
      <c r="C48" s="159" t="s">
        <v>401</v>
      </c>
      <c r="D48" s="154">
        <v>1179990</v>
      </c>
    </row>
    <row r="49" spans="2:4" ht="12">
      <c r="B49" s="155" t="s">
        <v>1</v>
      </c>
      <c r="C49" s="166"/>
      <c r="D49" s="157">
        <f>SUM(D48)</f>
        <v>1179990</v>
      </c>
    </row>
    <row r="50" spans="2:4" ht="12">
      <c r="B50" s="159" t="s">
        <v>410</v>
      </c>
      <c r="C50" s="159" t="s">
        <v>401</v>
      </c>
      <c r="D50" s="154">
        <v>480564</v>
      </c>
    </row>
    <row r="51" spans="2:4" ht="12">
      <c r="B51" s="155" t="s">
        <v>1</v>
      </c>
      <c r="C51" s="166"/>
      <c r="D51" s="157">
        <f>SUM(D50)</f>
        <v>480564</v>
      </c>
    </row>
    <row r="52" spans="2:4" ht="12">
      <c r="B52" s="159" t="s">
        <v>411</v>
      </c>
      <c r="C52" s="159" t="s">
        <v>401</v>
      </c>
      <c r="D52" s="154">
        <f>651300+72438+34054+190000+88700+169900+143750</f>
        <v>1350142</v>
      </c>
    </row>
    <row r="53" spans="2:4" ht="12">
      <c r="B53" s="155" t="s">
        <v>1</v>
      </c>
      <c r="C53" s="167"/>
      <c r="D53" s="157">
        <f>SUM(D52)</f>
        <v>1350142</v>
      </c>
    </row>
    <row r="54" spans="2:4" ht="12">
      <c r="B54" s="524" t="s">
        <v>412</v>
      </c>
      <c r="C54" s="525"/>
      <c r="D54" s="160">
        <f>D31+D33+D35+D37+D39+D41+D43+D45+D47+D49+D51+D53</f>
        <v>13698286</v>
      </c>
    </row>
    <row r="56" spans="1:4" ht="12">
      <c r="A56" s="140" t="s">
        <v>413</v>
      </c>
      <c r="B56" s="161" t="s">
        <v>414</v>
      </c>
      <c r="C56" s="161" t="s">
        <v>187</v>
      </c>
      <c r="D56" s="162" t="s">
        <v>383</v>
      </c>
    </row>
    <row r="57" spans="2:4" ht="12">
      <c r="B57" s="159" t="s">
        <v>403</v>
      </c>
      <c r="C57" s="153" t="s">
        <v>415</v>
      </c>
      <c r="D57" s="154">
        <f>510800+1302075+24750+162375</f>
        <v>2000000</v>
      </c>
    </row>
    <row r="58" spans="2:4" ht="12">
      <c r="B58" s="155" t="s">
        <v>1</v>
      </c>
      <c r="C58" s="167"/>
      <c r="D58" s="157">
        <f>SUM(D57)</f>
        <v>2000000</v>
      </c>
    </row>
    <row r="59" spans="2:4" ht="12">
      <c r="B59" s="524" t="s">
        <v>412</v>
      </c>
      <c r="C59" s="525"/>
      <c r="D59" s="160">
        <f>SUM(D58)</f>
        <v>2000000</v>
      </c>
    </row>
    <row r="61" spans="1:4" ht="12">
      <c r="A61" s="140" t="s">
        <v>416</v>
      </c>
      <c r="B61" s="161" t="s">
        <v>417</v>
      </c>
      <c r="C61" s="161" t="s">
        <v>187</v>
      </c>
      <c r="D61" s="162" t="s">
        <v>383</v>
      </c>
    </row>
    <row r="62" spans="2:4" ht="12">
      <c r="B62" s="153" t="s">
        <v>384</v>
      </c>
      <c r="C62" s="153" t="s">
        <v>418</v>
      </c>
      <c r="D62" s="154">
        <v>7143428</v>
      </c>
    </row>
    <row r="63" spans="2:4" ht="12">
      <c r="B63" s="155" t="s">
        <v>1</v>
      </c>
      <c r="C63" s="167"/>
      <c r="D63" s="157">
        <f>SUM(D62)</f>
        <v>7143428</v>
      </c>
    </row>
    <row r="64" spans="2:4" ht="12">
      <c r="B64" s="159" t="s">
        <v>419</v>
      </c>
      <c r="C64" s="153" t="s">
        <v>418</v>
      </c>
      <c r="D64" s="154">
        <v>7143428</v>
      </c>
    </row>
    <row r="65" spans="2:4" ht="12">
      <c r="B65" s="155" t="s">
        <v>1</v>
      </c>
      <c r="C65" s="167"/>
      <c r="D65" s="157">
        <f>SUM(D64)</f>
        <v>7143428</v>
      </c>
    </row>
    <row r="66" spans="2:4" ht="24">
      <c r="B66" s="158" t="s">
        <v>386</v>
      </c>
      <c r="C66" s="153" t="s">
        <v>418</v>
      </c>
      <c r="D66" s="154">
        <v>7143427</v>
      </c>
    </row>
    <row r="67" spans="2:4" ht="12">
      <c r="B67" s="155" t="s">
        <v>1</v>
      </c>
      <c r="C67" s="167"/>
      <c r="D67" s="157">
        <f>SUM(D66)</f>
        <v>7143427</v>
      </c>
    </row>
    <row r="68" spans="2:4" ht="12">
      <c r="B68" s="524" t="s">
        <v>412</v>
      </c>
      <c r="C68" s="525"/>
      <c r="D68" s="160">
        <f>D63+D65+D67</f>
        <v>21430283</v>
      </c>
    </row>
    <row r="70" spans="1:4" ht="12">
      <c r="A70" s="140" t="s">
        <v>420</v>
      </c>
      <c r="B70" s="168" t="s">
        <v>421</v>
      </c>
      <c r="C70" s="161" t="s">
        <v>187</v>
      </c>
      <c r="D70" s="162" t="s">
        <v>383</v>
      </c>
    </row>
    <row r="71" spans="1:4" s="149" customFormat="1" ht="15.75" customHeight="1">
      <c r="A71" s="148"/>
      <c r="B71" s="159" t="s">
        <v>422</v>
      </c>
      <c r="C71" s="153" t="s">
        <v>423</v>
      </c>
      <c r="D71" s="163">
        <v>576500</v>
      </c>
    </row>
    <row r="72" spans="2:4" ht="12">
      <c r="B72" s="155" t="s">
        <v>1</v>
      </c>
      <c r="C72" s="167"/>
      <c r="D72" s="157">
        <f>SUM(D71)</f>
        <v>576500</v>
      </c>
    </row>
    <row r="73" spans="1:4" s="149" customFormat="1" ht="15.75" customHeight="1">
      <c r="A73" s="148"/>
      <c r="B73" s="159" t="s">
        <v>400</v>
      </c>
      <c r="C73" s="153" t="s">
        <v>423</v>
      </c>
      <c r="D73" s="163">
        <v>576500</v>
      </c>
    </row>
    <row r="74" spans="2:4" ht="12">
      <c r="B74" s="155" t="s">
        <v>1</v>
      </c>
      <c r="C74" s="167"/>
      <c r="D74" s="157">
        <f>SUM(D73)</f>
        <v>576500</v>
      </c>
    </row>
    <row r="75" spans="1:4" s="149" customFormat="1" ht="24">
      <c r="A75" s="148"/>
      <c r="B75" s="158" t="s">
        <v>424</v>
      </c>
      <c r="C75" s="153" t="s">
        <v>423</v>
      </c>
      <c r="D75" s="163">
        <v>576500</v>
      </c>
    </row>
    <row r="76" spans="2:4" ht="12">
      <c r="B76" s="155" t="s">
        <v>1</v>
      </c>
      <c r="C76" s="167"/>
      <c r="D76" s="157">
        <f>SUM(D75)</f>
        <v>576500</v>
      </c>
    </row>
    <row r="77" spans="2:4" ht="12">
      <c r="B77" s="159" t="s">
        <v>425</v>
      </c>
      <c r="C77" s="153" t="s">
        <v>423</v>
      </c>
      <c r="D77" s="169">
        <v>190600</v>
      </c>
    </row>
    <row r="78" spans="2:4" ht="12">
      <c r="B78" s="155" t="s">
        <v>1</v>
      </c>
      <c r="C78" s="167"/>
      <c r="D78" s="157">
        <f>SUM(D77)</f>
        <v>190600</v>
      </c>
    </row>
    <row r="79" spans="1:4" s="171" customFormat="1" ht="24">
      <c r="A79" s="170"/>
      <c r="B79" s="387" t="s">
        <v>426</v>
      </c>
      <c r="C79" s="386" t="s">
        <v>427</v>
      </c>
      <c r="D79" s="388">
        <v>1158218</v>
      </c>
    </row>
    <row r="80" spans="2:4" ht="12">
      <c r="B80" s="155" t="s">
        <v>1</v>
      </c>
      <c r="C80" s="156"/>
      <c r="D80" s="157">
        <f>SUM(D79)</f>
        <v>1158218</v>
      </c>
    </row>
    <row r="81" spans="2:4" ht="12">
      <c r="B81" s="153" t="s">
        <v>384</v>
      </c>
      <c r="C81" s="153" t="s">
        <v>423</v>
      </c>
      <c r="D81" s="154">
        <v>2306000</v>
      </c>
    </row>
    <row r="82" spans="2:4" ht="12">
      <c r="B82" s="155" t="s">
        <v>1</v>
      </c>
      <c r="C82" s="167"/>
      <c r="D82" s="157">
        <f>SUM(D81)</f>
        <v>2306000</v>
      </c>
    </row>
    <row r="83" spans="2:4" ht="24">
      <c r="B83" s="158" t="s">
        <v>386</v>
      </c>
      <c r="C83" s="386" t="s">
        <v>427</v>
      </c>
      <c r="D83" s="154">
        <v>579109</v>
      </c>
    </row>
    <row r="84" spans="2:4" ht="12">
      <c r="B84" s="155" t="s">
        <v>1</v>
      </c>
      <c r="C84" s="167"/>
      <c r="D84" s="157">
        <f>SUM(D83)</f>
        <v>579109</v>
      </c>
    </row>
    <row r="85" spans="2:4" ht="12">
      <c r="B85" s="153" t="s">
        <v>428</v>
      </c>
      <c r="C85" s="153" t="s">
        <v>423</v>
      </c>
      <c r="D85" s="154">
        <v>1343600</v>
      </c>
    </row>
    <row r="86" spans="2:4" ht="12">
      <c r="B86" s="155" t="s">
        <v>1</v>
      </c>
      <c r="C86" s="167"/>
      <c r="D86" s="157">
        <f>SUM(D85)</f>
        <v>1343600</v>
      </c>
    </row>
    <row r="87" spans="2:4" ht="24">
      <c r="B87" s="158" t="s">
        <v>429</v>
      </c>
      <c r="C87" s="153" t="s">
        <v>427</v>
      </c>
      <c r="D87" s="154">
        <v>579109</v>
      </c>
    </row>
    <row r="88" spans="2:4" ht="12">
      <c r="B88" s="155" t="s">
        <v>1</v>
      </c>
      <c r="C88" s="167"/>
      <c r="D88" s="157">
        <f>SUM(D87)</f>
        <v>579109</v>
      </c>
    </row>
    <row r="89" spans="2:4" ht="12">
      <c r="B89" s="159" t="s">
        <v>430</v>
      </c>
      <c r="C89" s="153" t="s">
        <v>423</v>
      </c>
      <c r="D89" s="154">
        <v>576500</v>
      </c>
    </row>
    <row r="90" spans="2:4" ht="12">
      <c r="B90" s="155" t="s">
        <v>1</v>
      </c>
      <c r="C90" s="167"/>
      <c r="D90" s="157">
        <f>SUM(D89)</f>
        <v>576500</v>
      </c>
    </row>
    <row r="91" spans="2:4" ht="24">
      <c r="B91" s="158" t="s">
        <v>431</v>
      </c>
      <c r="C91" s="153" t="s">
        <v>423</v>
      </c>
      <c r="D91" s="154">
        <v>576500</v>
      </c>
    </row>
    <row r="92" spans="2:4" ht="12">
      <c r="B92" s="155" t="s">
        <v>1</v>
      </c>
      <c r="C92" s="167"/>
      <c r="D92" s="157">
        <f>SUM(D91)</f>
        <v>576500</v>
      </c>
    </row>
    <row r="93" spans="2:4" ht="12">
      <c r="B93" s="153" t="s">
        <v>432</v>
      </c>
      <c r="C93" s="153" t="s">
        <v>423</v>
      </c>
      <c r="D93" s="154">
        <v>1459600</v>
      </c>
    </row>
    <row r="94" spans="2:4" ht="12">
      <c r="B94" s="155" t="s">
        <v>1</v>
      </c>
      <c r="C94" s="167"/>
      <c r="D94" s="157">
        <f>SUM(D93)</f>
        <v>1459600</v>
      </c>
    </row>
    <row r="95" spans="2:4" ht="12">
      <c r="B95" s="159" t="s">
        <v>403</v>
      </c>
      <c r="C95" s="153" t="s">
        <v>423</v>
      </c>
      <c r="D95" s="154">
        <v>576500</v>
      </c>
    </row>
    <row r="96" spans="2:4" ht="12">
      <c r="B96" s="159" t="s">
        <v>403</v>
      </c>
      <c r="C96" s="153" t="s">
        <v>427</v>
      </c>
      <c r="D96" s="154">
        <v>579109</v>
      </c>
    </row>
    <row r="97" spans="2:4" ht="12">
      <c r="B97" s="155" t="s">
        <v>1</v>
      </c>
      <c r="C97" s="167"/>
      <c r="D97" s="157">
        <f>SUM(D95:D96)</f>
        <v>1155609</v>
      </c>
    </row>
    <row r="98" spans="2:4" ht="24">
      <c r="B98" s="158" t="s">
        <v>433</v>
      </c>
      <c r="C98" s="153" t="s">
        <v>423</v>
      </c>
      <c r="D98" s="154">
        <v>576500</v>
      </c>
    </row>
    <row r="99" spans="2:4" ht="24">
      <c r="B99" s="158" t="s">
        <v>433</v>
      </c>
      <c r="C99" s="153" t="s">
        <v>427</v>
      </c>
      <c r="D99" s="154">
        <v>1158217</v>
      </c>
    </row>
    <row r="100" spans="2:4" ht="12">
      <c r="B100" s="155" t="s">
        <v>1</v>
      </c>
      <c r="C100" s="167"/>
      <c r="D100" s="157">
        <f>SUM(D98:D99)</f>
        <v>1734717</v>
      </c>
    </row>
    <row r="101" spans="2:4" ht="12">
      <c r="B101" s="153" t="s">
        <v>434</v>
      </c>
      <c r="C101" s="153" t="s">
        <v>423</v>
      </c>
      <c r="D101" s="154">
        <v>576500</v>
      </c>
    </row>
    <row r="102" spans="2:4" ht="12">
      <c r="B102" s="155" t="s">
        <v>1</v>
      </c>
      <c r="C102" s="167"/>
      <c r="D102" s="157">
        <f>SUM(D101)</f>
        <v>576500</v>
      </c>
    </row>
    <row r="103" spans="2:4" ht="12">
      <c r="B103" s="159" t="s">
        <v>388</v>
      </c>
      <c r="C103" s="153" t="s">
        <v>423</v>
      </c>
      <c r="D103" s="154">
        <v>576500</v>
      </c>
    </row>
    <row r="104" spans="2:4" ht="12">
      <c r="B104" s="159" t="s">
        <v>388</v>
      </c>
      <c r="C104" s="153" t="s">
        <v>427</v>
      </c>
      <c r="D104" s="154">
        <v>579109</v>
      </c>
    </row>
    <row r="105" spans="2:4" ht="12">
      <c r="B105" s="155" t="s">
        <v>1</v>
      </c>
      <c r="C105" s="167"/>
      <c r="D105" s="157">
        <f>SUM(D103:D104)</f>
        <v>1155609</v>
      </c>
    </row>
    <row r="106" spans="2:4" ht="14.25" customHeight="1">
      <c r="B106" s="158" t="s">
        <v>390</v>
      </c>
      <c r="C106" s="153" t="s">
        <v>423</v>
      </c>
      <c r="D106" s="154">
        <v>576500</v>
      </c>
    </row>
    <row r="107" spans="2:4" ht="12">
      <c r="B107" s="155" t="s">
        <v>1</v>
      </c>
      <c r="C107" s="167"/>
      <c r="D107" s="157">
        <f>SUM(D106)</f>
        <v>576500</v>
      </c>
    </row>
    <row r="108" spans="2:4" ht="12">
      <c r="B108" s="153" t="s">
        <v>435</v>
      </c>
      <c r="C108" s="153" t="s">
        <v>423</v>
      </c>
      <c r="D108" s="154">
        <v>1729500</v>
      </c>
    </row>
    <row r="109" spans="2:4" ht="24">
      <c r="B109" s="158" t="s">
        <v>436</v>
      </c>
      <c r="C109" s="153" t="s">
        <v>427</v>
      </c>
      <c r="D109" s="154">
        <v>579109</v>
      </c>
    </row>
    <row r="110" spans="2:4" ht="12">
      <c r="B110" s="155" t="s">
        <v>1</v>
      </c>
      <c r="C110" s="167"/>
      <c r="D110" s="157">
        <f>SUM(D108:D109)</f>
        <v>2308609</v>
      </c>
    </row>
    <row r="111" spans="2:4" ht="12">
      <c r="B111" s="153" t="s">
        <v>437</v>
      </c>
      <c r="C111" s="153" t="s">
        <v>423</v>
      </c>
      <c r="D111" s="154">
        <v>190600</v>
      </c>
    </row>
    <row r="112" spans="2:4" ht="12">
      <c r="B112" s="159" t="s">
        <v>438</v>
      </c>
      <c r="C112" s="153" t="s">
        <v>423</v>
      </c>
      <c r="D112" s="154">
        <v>576500</v>
      </c>
    </row>
    <row r="113" spans="2:4" ht="12">
      <c r="B113" s="155" t="s">
        <v>1</v>
      </c>
      <c r="C113" s="167"/>
      <c r="D113" s="157">
        <f>SUM(D111:D112)</f>
        <v>767100</v>
      </c>
    </row>
    <row r="114" spans="2:4" ht="12">
      <c r="B114" s="153" t="s">
        <v>439</v>
      </c>
      <c r="C114" s="153" t="s">
        <v>423</v>
      </c>
      <c r="D114" s="154">
        <v>576500</v>
      </c>
    </row>
    <row r="115" spans="2:4" ht="12">
      <c r="B115" s="155" t="s">
        <v>1</v>
      </c>
      <c r="C115" s="167"/>
      <c r="D115" s="157">
        <f>SUM(D114)</f>
        <v>576500</v>
      </c>
    </row>
    <row r="116" spans="2:4" ht="12">
      <c r="B116" s="159" t="s">
        <v>404</v>
      </c>
      <c r="C116" s="153" t="s">
        <v>423</v>
      </c>
      <c r="D116" s="154">
        <f>576500+190600</f>
        <v>767100</v>
      </c>
    </row>
    <row r="117" spans="2:4" ht="12">
      <c r="B117" s="159" t="s">
        <v>404</v>
      </c>
      <c r="C117" s="153" t="s">
        <v>423</v>
      </c>
      <c r="D117" s="154">
        <v>576500</v>
      </c>
    </row>
    <row r="118" spans="2:4" ht="12">
      <c r="B118" s="155" t="s">
        <v>1</v>
      </c>
      <c r="C118" s="167"/>
      <c r="D118" s="157">
        <f>SUM(D116:D117)</f>
        <v>1343600</v>
      </c>
    </row>
    <row r="119" spans="2:4" ht="12">
      <c r="B119" s="159" t="s">
        <v>405</v>
      </c>
      <c r="C119" s="153" t="s">
        <v>423</v>
      </c>
      <c r="D119" s="154">
        <f>190600+576500</f>
        <v>767100</v>
      </c>
    </row>
    <row r="120" spans="2:4" ht="12">
      <c r="B120" s="155" t="s">
        <v>1</v>
      </c>
      <c r="C120" s="167"/>
      <c r="D120" s="157">
        <f>SUM(D119)</f>
        <v>767100</v>
      </c>
    </row>
    <row r="121" spans="2:4" ht="24">
      <c r="B121" s="158" t="s">
        <v>440</v>
      </c>
      <c r="C121" s="153" t="s">
        <v>423</v>
      </c>
      <c r="D121" s="154">
        <v>576500</v>
      </c>
    </row>
    <row r="122" spans="2:4" ht="12">
      <c r="B122" s="155" t="s">
        <v>1</v>
      </c>
      <c r="C122" s="167"/>
      <c r="D122" s="157">
        <f>SUM(D121)</f>
        <v>576500</v>
      </c>
    </row>
    <row r="123" spans="2:4" ht="12">
      <c r="B123" s="159" t="s">
        <v>406</v>
      </c>
      <c r="C123" s="153" t="s">
        <v>423</v>
      </c>
      <c r="D123" s="154">
        <v>576500</v>
      </c>
    </row>
    <row r="124" spans="2:4" ht="12">
      <c r="B124" s="155" t="s">
        <v>1</v>
      </c>
      <c r="C124" s="167"/>
      <c r="D124" s="157">
        <f>SUM(D123)</f>
        <v>576500</v>
      </c>
    </row>
    <row r="125" spans="2:4" ht="24">
      <c r="B125" s="158" t="s">
        <v>393</v>
      </c>
      <c r="C125" s="153" t="s">
        <v>423</v>
      </c>
      <c r="D125" s="154">
        <v>1153000</v>
      </c>
    </row>
    <row r="126" spans="2:4" ht="24">
      <c r="B126" s="158" t="s">
        <v>393</v>
      </c>
      <c r="C126" s="153" t="s">
        <v>427</v>
      </c>
      <c r="D126" s="154">
        <v>579109</v>
      </c>
    </row>
    <row r="127" spans="2:4" ht="12">
      <c r="B127" s="155" t="s">
        <v>1</v>
      </c>
      <c r="C127" s="167"/>
      <c r="D127" s="157">
        <f>SUM(D125:D126)</f>
        <v>1732109</v>
      </c>
    </row>
    <row r="128" spans="2:4" ht="12">
      <c r="B128" s="153" t="s">
        <v>441</v>
      </c>
      <c r="C128" s="153" t="s">
        <v>423</v>
      </c>
      <c r="D128" s="154">
        <v>767100</v>
      </c>
    </row>
    <row r="129" spans="2:4" ht="12">
      <c r="B129" s="155" t="s">
        <v>1</v>
      </c>
      <c r="C129" s="167"/>
      <c r="D129" s="157">
        <f>SUM(D128)</f>
        <v>767100</v>
      </c>
    </row>
    <row r="130" spans="2:4" ht="12">
      <c r="B130" s="159" t="s">
        <v>407</v>
      </c>
      <c r="C130" s="153" t="s">
        <v>423</v>
      </c>
      <c r="D130" s="154">
        <v>576500</v>
      </c>
    </row>
    <row r="131" spans="2:4" ht="12">
      <c r="B131" s="159" t="s">
        <v>407</v>
      </c>
      <c r="C131" s="153" t="s">
        <v>427</v>
      </c>
      <c r="D131" s="154">
        <v>579109</v>
      </c>
    </row>
    <row r="132" spans="2:4" ht="12">
      <c r="B132" s="155" t="s">
        <v>1</v>
      </c>
      <c r="C132" s="167"/>
      <c r="D132" s="157">
        <f>SUM(D130:D131)</f>
        <v>1155609</v>
      </c>
    </row>
    <row r="133" spans="2:4" ht="24">
      <c r="B133" s="158" t="s">
        <v>442</v>
      </c>
      <c r="C133" s="153" t="s">
        <v>427</v>
      </c>
      <c r="D133" s="154">
        <v>1737326</v>
      </c>
    </row>
    <row r="134" spans="2:4" ht="12">
      <c r="B134" s="155" t="s">
        <v>1</v>
      </c>
      <c r="C134" s="167"/>
      <c r="D134" s="157">
        <f>SUM(D133)</f>
        <v>1737326</v>
      </c>
    </row>
    <row r="135" spans="2:4" ht="12">
      <c r="B135" s="153" t="s">
        <v>443</v>
      </c>
      <c r="C135" s="153" t="s">
        <v>423</v>
      </c>
      <c r="D135" s="154">
        <v>576500</v>
      </c>
    </row>
    <row r="136" spans="2:4" ht="12">
      <c r="B136" s="155" t="s">
        <v>1</v>
      </c>
      <c r="C136" s="167"/>
      <c r="D136" s="157">
        <f>SUM(D135)</f>
        <v>576500</v>
      </c>
    </row>
    <row r="137" spans="2:4" ht="12">
      <c r="B137" s="159" t="s">
        <v>408</v>
      </c>
      <c r="C137" s="153" t="s">
        <v>423</v>
      </c>
      <c r="D137" s="154">
        <f>1534200-767100</f>
        <v>767100</v>
      </c>
    </row>
    <row r="138" spans="2:4" ht="12">
      <c r="B138" s="155" t="s">
        <v>1</v>
      </c>
      <c r="C138" s="167"/>
      <c r="D138" s="157">
        <f>SUM(D137)</f>
        <v>767100</v>
      </c>
    </row>
    <row r="139" spans="2:4" ht="24">
      <c r="B139" s="158" t="s">
        <v>444</v>
      </c>
      <c r="C139" s="386" t="s">
        <v>427</v>
      </c>
      <c r="D139" s="154">
        <v>1737326</v>
      </c>
    </row>
    <row r="140" spans="2:4" ht="24">
      <c r="B140" s="158" t="s">
        <v>444</v>
      </c>
      <c r="C140" s="386" t="s">
        <v>423</v>
      </c>
      <c r="D140" s="154">
        <f>1729500-1153000</f>
        <v>576500</v>
      </c>
    </row>
    <row r="141" spans="2:4" ht="12">
      <c r="B141" s="155" t="s">
        <v>1</v>
      </c>
      <c r="C141" s="167"/>
      <c r="D141" s="157">
        <f>SUM(D139:D140)</f>
        <v>2313826</v>
      </c>
    </row>
    <row r="142" spans="2:4" ht="12">
      <c r="B142" s="153" t="s">
        <v>445</v>
      </c>
      <c r="C142" s="153" t="s">
        <v>423</v>
      </c>
      <c r="D142" s="154">
        <v>1153000</v>
      </c>
    </row>
    <row r="143" spans="2:4" ht="12">
      <c r="B143" s="155" t="s">
        <v>1</v>
      </c>
      <c r="C143" s="167"/>
      <c r="D143" s="157">
        <f>SUM(D142)</f>
        <v>1153000</v>
      </c>
    </row>
    <row r="144" spans="2:4" ht="12">
      <c r="B144" s="159" t="s">
        <v>409</v>
      </c>
      <c r="C144" s="153" t="s">
        <v>423</v>
      </c>
      <c r="D144" s="154">
        <v>767100</v>
      </c>
    </row>
    <row r="145" spans="2:4" ht="12">
      <c r="B145" s="155" t="s">
        <v>1</v>
      </c>
      <c r="C145" s="167"/>
      <c r="D145" s="157">
        <f>SUM(D144)</f>
        <v>767100</v>
      </c>
    </row>
    <row r="146" spans="2:4" ht="24">
      <c r="B146" s="158" t="s">
        <v>446</v>
      </c>
      <c r="C146" s="153" t="s">
        <v>423</v>
      </c>
      <c r="D146" s="154">
        <v>1153000</v>
      </c>
    </row>
    <row r="147" spans="2:4" ht="12">
      <c r="B147" s="155" t="s">
        <v>1</v>
      </c>
      <c r="C147" s="167"/>
      <c r="D147" s="157">
        <f>SUM(D146)</f>
        <v>1153000</v>
      </c>
    </row>
    <row r="148" spans="2:4" ht="12">
      <c r="B148" s="153" t="s">
        <v>447</v>
      </c>
      <c r="C148" s="153" t="s">
        <v>423</v>
      </c>
      <c r="D148" s="154">
        <v>576500</v>
      </c>
    </row>
    <row r="149" spans="2:4" ht="12">
      <c r="B149" s="155" t="s">
        <v>1</v>
      </c>
      <c r="C149" s="167"/>
      <c r="D149" s="157">
        <f>SUM(D148)</f>
        <v>576500</v>
      </c>
    </row>
    <row r="150" spans="2:4" ht="12">
      <c r="B150" s="159" t="s">
        <v>410</v>
      </c>
      <c r="C150" s="386" t="s">
        <v>427</v>
      </c>
      <c r="D150" s="154">
        <v>1158218</v>
      </c>
    </row>
    <row r="151" spans="2:4" ht="12">
      <c r="B151" s="155" t="s">
        <v>1</v>
      </c>
      <c r="C151" s="167"/>
      <c r="D151" s="157">
        <f>SUM(D150)</f>
        <v>1158218</v>
      </c>
    </row>
    <row r="152" spans="2:4" ht="24">
      <c r="B152" s="158" t="s">
        <v>448</v>
      </c>
      <c r="C152" s="153" t="s">
        <v>423</v>
      </c>
      <c r="D152" s="154">
        <v>576500</v>
      </c>
    </row>
    <row r="153" spans="2:4" ht="12">
      <c r="B153" s="155" t="s">
        <v>1</v>
      </c>
      <c r="C153" s="167"/>
      <c r="D153" s="157">
        <f>SUM(D152)</f>
        <v>576500</v>
      </c>
    </row>
    <row r="154" spans="2:4" ht="12">
      <c r="B154" s="153" t="s">
        <v>396</v>
      </c>
      <c r="C154" s="153" t="s">
        <v>423</v>
      </c>
      <c r="D154" s="154">
        <v>1729500</v>
      </c>
    </row>
    <row r="155" spans="2:4" ht="12">
      <c r="B155" s="153" t="s">
        <v>396</v>
      </c>
      <c r="C155" s="153" t="s">
        <v>427</v>
      </c>
      <c r="D155" s="154">
        <v>579108</v>
      </c>
    </row>
    <row r="156" spans="2:4" ht="12">
      <c r="B156" s="155" t="s">
        <v>1</v>
      </c>
      <c r="C156" s="167"/>
      <c r="D156" s="157">
        <f>SUM(D154:D155)</f>
        <v>2308608</v>
      </c>
    </row>
    <row r="157" spans="2:4" ht="12">
      <c r="B157" s="153" t="s">
        <v>449</v>
      </c>
      <c r="C157" s="153" t="s">
        <v>427</v>
      </c>
      <c r="D157" s="154">
        <v>579109</v>
      </c>
    </row>
    <row r="158" spans="2:4" ht="12">
      <c r="B158" s="155" t="s">
        <v>1</v>
      </c>
      <c r="C158" s="167"/>
      <c r="D158" s="157">
        <f>SUM(D157)</f>
        <v>579109</v>
      </c>
    </row>
    <row r="159" spans="2:4" ht="12">
      <c r="B159" s="159" t="s">
        <v>450</v>
      </c>
      <c r="C159" s="153" t="s">
        <v>423</v>
      </c>
      <c r="D159" s="154">
        <v>576500</v>
      </c>
    </row>
    <row r="160" spans="2:4" ht="12">
      <c r="B160" s="159" t="s">
        <v>450</v>
      </c>
      <c r="C160" s="153" t="s">
        <v>427</v>
      </c>
      <c r="D160" s="154">
        <v>579109</v>
      </c>
    </row>
    <row r="161" spans="2:4" ht="12">
      <c r="B161" s="155" t="s">
        <v>1</v>
      </c>
      <c r="C161" s="167"/>
      <c r="D161" s="157">
        <f>SUM(D159:D160)</f>
        <v>1155609</v>
      </c>
    </row>
    <row r="162" spans="2:4" ht="24">
      <c r="B162" s="158" t="s">
        <v>451</v>
      </c>
      <c r="C162" s="153" t="s">
        <v>423</v>
      </c>
      <c r="D162" s="154">
        <v>576500</v>
      </c>
    </row>
    <row r="163" spans="2:4" ht="12">
      <c r="B163" s="155" t="s">
        <v>1</v>
      </c>
      <c r="C163" s="167"/>
      <c r="D163" s="157">
        <f>SUM(D162)</f>
        <v>576500</v>
      </c>
    </row>
    <row r="164" spans="2:4" ht="12">
      <c r="B164" s="153" t="s">
        <v>452</v>
      </c>
      <c r="C164" s="153" t="s">
        <v>423</v>
      </c>
      <c r="D164" s="154">
        <v>576500</v>
      </c>
    </row>
    <row r="165" spans="2:4" ht="12">
      <c r="B165" s="153" t="s">
        <v>452</v>
      </c>
      <c r="C165" s="153" t="s">
        <v>427</v>
      </c>
      <c r="D165" s="154">
        <v>579109</v>
      </c>
    </row>
    <row r="166" spans="2:4" ht="12">
      <c r="B166" s="153" t="s">
        <v>452</v>
      </c>
      <c r="C166" s="153" t="s">
        <v>423</v>
      </c>
      <c r="D166" s="154">
        <v>190600</v>
      </c>
    </row>
    <row r="167" spans="2:4" ht="12">
      <c r="B167" s="155" t="s">
        <v>1</v>
      </c>
      <c r="C167" s="167"/>
      <c r="D167" s="157">
        <f>SUM(D164:D166)</f>
        <v>1346209</v>
      </c>
    </row>
    <row r="168" spans="2:4" ht="12">
      <c r="B168" s="159" t="s">
        <v>453</v>
      </c>
      <c r="C168" s="153" t="s">
        <v>423</v>
      </c>
      <c r="D168" s="154">
        <v>576500</v>
      </c>
    </row>
    <row r="169" spans="2:4" ht="12">
      <c r="B169" s="155" t="s">
        <v>1</v>
      </c>
      <c r="C169" s="167"/>
      <c r="D169" s="157">
        <f>SUM(D168)</f>
        <v>576500</v>
      </c>
    </row>
    <row r="170" spans="2:4" ht="24">
      <c r="B170" s="158" t="s">
        <v>454</v>
      </c>
      <c r="C170" s="153" t="s">
        <v>427</v>
      </c>
      <c r="D170" s="154">
        <v>579109</v>
      </c>
    </row>
    <row r="171" spans="2:4" ht="12">
      <c r="B171" s="155" t="s">
        <v>1</v>
      </c>
      <c r="C171" s="167"/>
      <c r="D171" s="157">
        <f>SUM(D170)</f>
        <v>579109</v>
      </c>
    </row>
    <row r="172" spans="2:4" ht="12">
      <c r="B172" s="153" t="s">
        <v>455</v>
      </c>
      <c r="C172" s="153" t="s">
        <v>423</v>
      </c>
      <c r="D172" s="154">
        <v>576500</v>
      </c>
    </row>
    <row r="173" spans="2:4" ht="12">
      <c r="B173" s="155" t="s">
        <v>1</v>
      </c>
      <c r="C173" s="167"/>
      <c r="D173" s="157">
        <f>SUM(D172)</f>
        <v>576500</v>
      </c>
    </row>
    <row r="174" spans="2:4" ht="12">
      <c r="B174" s="153" t="s">
        <v>456</v>
      </c>
      <c r="C174" s="153" t="s">
        <v>423</v>
      </c>
      <c r="D174" s="154">
        <v>190600</v>
      </c>
    </row>
    <row r="175" spans="2:4" ht="12">
      <c r="B175" s="155" t="s">
        <v>1</v>
      </c>
      <c r="C175" s="167"/>
      <c r="D175" s="157">
        <f>SUM(D174)</f>
        <v>190600</v>
      </c>
    </row>
    <row r="176" spans="2:4" ht="24">
      <c r="B176" s="158" t="s">
        <v>457</v>
      </c>
      <c r="C176" s="153" t="s">
        <v>423</v>
      </c>
      <c r="D176" s="154">
        <v>576500</v>
      </c>
    </row>
    <row r="177" spans="2:4" ht="24">
      <c r="B177" s="158" t="s">
        <v>457</v>
      </c>
      <c r="C177" s="153" t="s">
        <v>427</v>
      </c>
      <c r="D177" s="154">
        <v>579109</v>
      </c>
    </row>
    <row r="178" spans="2:4" ht="12">
      <c r="B178" s="155" t="s">
        <v>1</v>
      </c>
      <c r="C178" s="167"/>
      <c r="D178" s="157">
        <f>SUM(D176:D177)</f>
        <v>1155609</v>
      </c>
    </row>
    <row r="179" spans="2:4" ht="12">
      <c r="B179" s="524" t="s">
        <v>412</v>
      </c>
      <c r="C179" s="525"/>
      <c r="D179" s="160">
        <f>D72+D74+D76+D78+D80+D82+D84+D86+D88+D90+D92+D94+D97+D100+D102+D105+D107+D110+D113+D115+D118+D120+D122+D124+D127+D129+D132+D134+D136+D138+D141+D143+D145+D147+D149+D151+D153+D156+D158+D161+D163+D167+D169+D171+D173+D175+D178</f>
        <v>46091821</v>
      </c>
    </row>
    <row r="181" spans="1:4" ht="12">
      <c r="A181" s="140" t="s">
        <v>458</v>
      </c>
      <c r="B181" s="168" t="s">
        <v>459</v>
      </c>
      <c r="C181" s="161" t="s">
        <v>187</v>
      </c>
      <c r="D181" s="162" t="s">
        <v>383</v>
      </c>
    </row>
    <row r="182" spans="2:4" ht="12">
      <c r="B182" s="159" t="s">
        <v>419</v>
      </c>
      <c r="C182" s="153" t="s">
        <v>460</v>
      </c>
      <c r="D182" s="154">
        <v>1277532</v>
      </c>
    </row>
    <row r="183" spans="2:4" ht="12">
      <c r="B183" s="155" t="s">
        <v>1</v>
      </c>
      <c r="C183" s="167"/>
      <c r="D183" s="157">
        <f>SUM(D182)</f>
        <v>1277532</v>
      </c>
    </row>
    <row r="184" spans="2:4" ht="24">
      <c r="B184" s="158" t="s">
        <v>386</v>
      </c>
      <c r="C184" s="153" t="s">
        <v>460</v>
      </c>
      <c r="D184" s="154">
        <v>3835000</v>
      </c>
    </row>
    <row r="185" spans="2:4" ht="12">
      <c r="B185" s="155" t="s">
        <v>1</v>
      </c>
      <c r="C185" s="167"/>
      <c r="D185" s="157">
        <f>SUM(D184)</f>
        <v>3835000</v>
      </c>
    </row>
    <row r="186" spans="2:4" ht="12">
      <c r="B186" s="153" t="s">
        <v>432</v>
      </c>
      <c r="C186" s="153" t="s">
        <v>461</v>
      </c>
      <c r="D186" s="154">
        <v>1601250</v>
      </c>
    </row>
    <row r="187" spans="2:4" ht="12">
      <c r="B187" s="155" t="s">
        <v>1</v>
      </c>
      <c r="C187" s="167"/>
      <c r="D187" s="157">
        <f>SUM(D186)</f>
        <v>1601250</v>
      </c>
    </row>
    <row r="188" spans="2:4" ht="12">
      <c r="B188" s="153" t="s">
        <v>434</v>
      </c>
      <c r="C188" s="153" t="s">
        <v>387</v>
      </c>
      <c r="D188" s="154">
        <v>349876</v>
      </c>
    </row>
    <row r="189" spans="2:4" ht="12">
      <c r="B189" s="155" t="s">
        <v>1</v>
      </c>
      <c r="C189" s="167"/>
      <c r="D189" s="157">
        <f>SUM(D188)</f>
        <v>349876</v>
      </c>
    </row>
    <row r="190" spans="2:4" ht="24">
      <c r="B190" s="158" t="s">
        <v>393</v>
      </c>
      <c r="C190" s="153" t="s">
        <v>394</v>
      </c>
      <c r="D190" s="154">
        <v>2244000</v>
      </c>
    </row>
    <row r="191" spans="2:4" ht="12">
      <c r="B191" s="155" t="s">
        <v>1</v>
      </c>
      <c r="C191" s="167"/>
      <c r="D191" s="157">
        <f>SUM(D190)</f>
        <v>2244000</v>
      </c>
    </row>
    <row r="192" spans="2:4" ht="12">
      <c r="B192" s="524" t="s">
        <v>412</v>
      </c>
      <c r="C192" s="525"/>
      <c r="D192" s="160">
        <f>D183+D185+D187+D189+D191</f>
        <v>9307658</v>
      </c>
    </row>
    <row r="194" spans="1:4" ht="12">
      <c r="A194" s="140" t="s">
        <v>462</v>
      </c>
      <c r="B194" s="168" t="s">
        <v>463</v>
      </c>
      <c r="C194" s="161" t="s">
        <v>187</v>
      </c>
      <c r="D194" s="162" t="s">
        <v>383</v>
      </c>
    </row>
    <row r="195" spans="2:4" ht="12">
      <c r="B195" s="159" t="s">
        <v>404</v>
      </c>
      <c r="C195" s="153" t="s">
        <v>464</v>
      </c>
      <c r="D195" s="154">
        <f>690000+345000+535000</f>
        <v>1570000</v>
      </c>
    </row>
    <row r="196" spans="2:4" ht="12">
      <c r="B196" s="155" t="s">
        <v>1</v>
      </c>
      <c r="C196" s="167"/>
      <c r="D196" s="157">
        <f>SUM(D195)</f>
        <v>1570000</v>
      </c>
    </row>
    <row r="197" spans="2:4" ht="24">
      <c r="B197" s="158" t="s">
        <v>393</v>
      </c>
      <c r="C197" s="153" t="s">
        <v>465</v>
      </c>
      <c r="D197" s="154">
        <v>8621371</v>
      </c>
    </row>
    <row r="198" spans="2:4" ht="12">
      <c r="B198" s="155" t="s">
        <v>1</v>
      </c>
      <c r="C198" s="172"/>
      <c r="D198" s="157">
        <f>SUM(D197)</f>
        <v>8621371</v>
      </c>
    </row>
    <row r="199" spans="2:4" ht="12">
      <c r="B199" s="524" t="s">
        <v>412</v>
      </c>
      <c r="C199" s="525"/>
      <c r="D199" s="160">
        <f>D196+D198</f>
        <v>10191371</v>
      </c>
    </row>
    <row r="200" spans="2:4" ht="12">
      <c r="B200" s="526" t="s">
        <v>466</v>
      </c>
      <c r="C200" s="526"/>
      <c r="D200" s="173">
        <f>D27+D54+D59+D68+D179+D192+D199</f>
        <v>117833370</v>
      </c>
    </row>
  </sheetData>
  <sheetProtection password="EE36" sheet="1" formatCells="0" formatColumns="0" formatRows="0" insertColumns="0" insertRows="0" insertHyperlinks="0" deleteColumns="0" deleteRows="0" sort="0" autoFilter="0" pivotTables="0"/>
  <mergeCells count="14">
    <mergeCell ref="B27:C27"/>
    <mergeCell ref="B54:C54"/>
    <mergeCell ref="C1:D1"/>
    <mergeCell ref="B2:C3"/>
    <mergeCell ref="B4:C4"/>
    <mergeCell ref="B5:C5"/>
    <mergeCell ref="B7:D7"/>
    <mergeCell ref="B9:D9"/>
    <mergeCell ref="B59:C59"/>
    <mergeCell ref="B68:C68"/>
    <mergeCell ref="B179:C179"/>
    <mergeCell ref="B192:C192"/>
    <mergeCell ref="B199:C199"/>
    <mergeCell ref="B200:C200"/>
  </mergeCells>
  <printOptions horizontalCentered="1" verticalCentered="1"/>
  <pageMargins left="0" right="0" top="0.3937007874015748" bottom="0.3937007874015748" header="0" footer="0"/>
  <pageSetup fitToHeight="4" fitToWidth="1" horizontalDpi="600" verticalDpi="600" orientation="portrait" paperSize="9" scale="95" r:id="rId1"/>
  <headerFooter>
    <oddHeader>&amp;R&amp;P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4">
      <selection activeCell="F25" sqref="F25"/>
    </sheetView>
  </sheetViews>
  <sheetFormatPr defaultColWidth="9.140625" defaultRowHeight="12.75"/>
  <cols>
    <col min="1" max="1" width="4.140625" style="175" bestFit="1" customWidth="1"/>
    <col min="2" max="2" width="39.57421875" style="128" customWidth="1"/>
    <col min="3" max="3" width="41.28125" style="128" customWidth="1"/>
    <col min="4" max="4" width="14.28125" style="129" bestFit="1" customWidth="1"/>
    <col min="5" max="16384" width="9.140625" style="59" customWidth="1"/>
  </cols>
  <sheetData>
    <row r="1" spans="3:4" ht="9.75" customHeight="1" hidden="1" thickBot="1">
      <c r="C1" s="176"/>
      <c r="D1" s="177"/>
    </row>
    <row r="2" spans="3:4" ht="9.75" customHeight="1" hidden="1" thickBot="1">
      <c r="C2" s="176"/>
      <c r="D2" s="177"/>
    </row>
    <row r="3" spans="3:4" ht="9.75" customHeight="1" hidden="1" thickBot="1">
      <c r="C3" s="176"/>
      <c r="D3" s="177"/>
    </row>
    <row r="4" spans="3:4" ht="15.75">
      <c r="C4" s="176"/>
      <c r="D4" s="14" t="s">
        <v>495</v>
      </c>
    </row>
    <row r="5" spans="3:4" ht="9.75" customHeight="1">
      <c r="C5" s="176"/>
      <c r="D5" s="177"/>
    </row>
    <row r="6" spans="2:4" ht="18.75">
      <c r="B6" s="538" t="s">
        <v>71</v>
      </c>
      <c r="C6" s="538"/>
      <c r="D6" s="538"/>
    </row>
    <row r="7" spans="2:4" ht="15.75">
      <c r="B7" s="521" t="s">
        <v>116</v>
      </c>
      <c r="C7" s="521"/>
      <c r="D7" s="521"/>
    </row>
    <row r="8" spans="2:4" ht="15.75">
      <c r="B8" s="523" t="s">
        <v>76</v>
      </c>
      <c r="C8" s="523"/>
      <c r="D8" s="523"/>
    </row>
    <row r="9" spans="2:4" ht="15.75">
      <c r="B9" s="6"/>
      <c r="C9" s="6"/>
      <c r="D9" s="6"/>
    </row>
    <row r="10" spans="2:4" ht="15.75">
      <c r="B10" s="515" t="s">
        <v>469</v>
      </c>
      <c r="C10" s="515"/>
      <c r="D10" s="515"/>
    </row>
    <row r="11" spans="3:4" ht="17.25" customHeight="1" thickBot="1">
      <c r="C11" s="539"/>
      <c r="D11" s="540"/>
    </row>
    <row r="12" spans="1:4" s="55" customFormat="1" ht="21" customHeight="1">
      <c r="A12" s="175" t="s">
        <v>471</v>
      </c>
      <c r="B12" s="541"/>
      <c r="C12" s="542"/>
      <c r="D12" s="543"/>
    </row>
    <row r="13" spans="1:4" ht="15.75">
      <c r="A13" s="175" t="s">
        <v>472</v>
      </c>
      <c r="B13" s="178" t="s">
        <v>186</v>
      </c>
      <c r="C13" s="179" t="s">
        <v>187</v>
      </c>
      <c r="D13" s="180" t="s">
        <v>346</v>
      </c>
    </row>
    <row r="14" spans="2:4" ht="15.75">
      <c r="B14" s="181" t="s">
        <v>473</v>
      </c>
      <c r="C14" s="182" t="s">
        <v>474</v>
      </c>
      <c r="D14" s="62">
        <v>284375</v>
      </c>
    </row>
    <row r="15" spans="1:4" s="55" customFormat="1" ht="15.75">
      <c r="A15" s="175"/>
      <c r="B15" s="183" t="s">
        <v>1</v>
      </c>
      <c r="C15" s="184"/>
      <c r="D15" s="65">
        <f>SUM(D14)</f>
        <v>284375</v>
      </c>
    </row>
    <row r="16" spans="2:4" ht="26.25">
      <c r="B16" s="127" t="s">
        <v>240</v>
      </c>
      <c r="C16" s="182" t="s">
        <v>475</v>
      </c>
      <c r="D16" s="62">
        <v>2519900</v>
      </c>
    </row>
    <row r="17" spans="2:4" ht="15.75">
      <c r="B17" s="185" t="s">
        <v>1</v>
      </c>
      <c r="C17" s="186"/>
      <c r="D17" s="65">
        <f>SUM(D16:D16)</f>
        <v>2519900</v>
      </c>
    </row>
    <row r="18" spans="2:4" ht="26.25">
      <c r="B18" s="60" t="s">
        <v>476</v>
      </c>
      <c r="C18" s="182" t="s">
        <v>477</v>
      </c>
      <c r="D18" s="62">
        <v>78053</v>
      </c>
    </row>
    <row r="19" spans="2:4" ht="15.75">
      <c r="B19" s="60"/>
      <c r="C19" s="182" t="s">
        <v>477</v>
      </c>
      <c r="D19" s="62">
        <v>131647</v>
      </c>
    </row>
    <row r="20" spans="2:4" ht="15.75">
      <c r="B20" s="185" t="s">
        <v>1</v>
      </c>
      <c r="C20" s="186"/>
      <c r="D20" s="65">
        <f>SUM(D18:D19)</f>
        <v>209700</v>
      </c>
    </row>
    <row r="21" spans="1:4" s="188" customFormat="1" ht="19.5" thickBot="1">
      <c r="A21" s="175"/>
      <c r="B21" s="544" t="s">
        <v>412</v>
      </c>
      <c r="C21" s="545"/>
      <c r="D21" s="187">
        <f>D15+D17+D20</f>
        <v>3013975</v>
      </c>
    </row>
    <row r="22" spans="2:4" ht="21" customHeight="1" thickBot="1">
      <c r="B22" s="189"/>
      <c r="C22" s="190"/>
      <c r="D22" s="191"/>
    </row>
    <row r="23" spans="1:4" ht="15.75">
      <c r="A23" s="175" t="s">
        <v>478</v>
      </c>
      <c r="B23" s="192" t="s">
        <v>262</v>
      </c>
      <c r="C23" s="193" t="s">
        <v>187</v>
      </c>
      <c r="D23" s="194" t="s">
        <v>346</v>
      </c>
    </row>
    <row r="24" spans="2:4" ht="15.75">
      <c r="B24" s="195" t="s">
        <v>479</v>
      </c>
      <c r="C24" s="182" t="s">
        <v>480</v>
      </c>
      <c r="D24" s="62">
        <v>1200000</v>
      </c>
    </row>
    <row r="25" spans="2:4" ht="15.75">
      <c r="B25" s="183" t="s">
        <v>1</v>
      </c>
      <c r="C25" s="186"/>
      <c r="D25" s="65">
        <f>SUM(D24)</f>
        <v>1200000</v>
      </c>
    </row>
    <row r="26" spans="2:4" ht="16.5" thickBot="1">
      <c r="B26" s="532" t="s">
        <v>412</v>
      </c>
      <c r="C26" s="533"/>
      <c r="D26" s="196">
        <f>SUM(D25)</f>
        <v>1200000</v>
      </c>
    </row>
    <row r="27" spans="2:4" ht="26.25" customHeight="1" thickBot="1">
      <c r="B27" s="189"/>
      <c r="C27" s="190"/>
      <c r="D27" s="191"/>
    </row>
    <row r="28" spans="1:4" ht="15.75">
      <c r="A28" s="175" t="s">
        <v>481</v>
      </c>
      <c r="B28" s="192" t="s">
        <v>265</v>
      </c>
      <c r="C28" s="193" t="s">
        <v>187</v>
      </c>
      <c r="D28" s="194" t="s">
        <v>346</v>
      </c>
    </row>
    <row r="29" spans="2:4" ht="30">
      <c r="B29" s="197" t="s">
        <v>482</v>
      </c>
      <c r="C29" s="182" t="s">
        <v>483</v>
      </c>
      <c r="D29" s="62">
        <v>1800000</v>
      </c>
    </row>
    <row r="30" spans="2:4" ht="15.75">
      <c r="B30" s="185" t="s">
        <v>1</v>
      </c>
      <c r="C30" s="186"/>
      <c r="D30" s="198">
        <f>SUM(D29)</f>
        <v>1800000</v>
      </c>
    </row>
    <row r="31" spans="2:4" ht="16.5" thickBot="1">
      <c r="B31" s="532" t="s">
        <v>412</v>
      </c>
      <c r="C31" s="533"/>
      <c r="D31" s="196">
        <f>SUM(D30)</f>
        <v>1800000</v>
      </c>
    </row>
    <row r="32" spans="1:4" s="200" customFormat="1" ht="21.75" customHeight="1" thickBot="1">
      <c r="A32" s="199"/>
      <c r="B32" s="189"/>
      <c r="C32" s="190"/>
      <c r="D32" s="191"/>
    </row>
    <row r="33" spans="1:4" ht="15.75">
      <c r="A33" s="175" t="s">
        <v>484</v>
      </c>
      <c r="B33" s="192" t="s">
        <v>269</v>
      </c>
      <c r="C33" s="193" t="s">
        <v>187</v>
      </c>
      <c r="D33" s="194" t="s">
        <v>346</v>
      </c>
    </row>
    <row r="34" spans="2:4" ht="39">
      <c r="B34" s="60" t="s">
        <v>266</v>
      </c>
      <c r="C34" s="182" t="s">
        <v>485</v>
      </c>
      <c r="D34" s="62">
        <v>3657852</v>
      </c>
    </row>
    <row r="35" spans="2:4" ht="15.75">
      <c r="B35" s="185" t="s">
        <v>1</v>
      </c>
      <c r="C35" s="201"/>
      <c r="D35" s="65">
        <f>SUM(D34)</f>
        <v>3657852</v>
      </c>
    </row>
    <row r="36" spans="2:4" ht="30">
      <c r="B36" s="197" t="s">
        <v>233</v>
      </c>
      <c r="C36" s="182" t="s">
        <v>486</v>
      </c>
      <c r="D36" s="62">
        <v>994675</v>
      </c>
    </row>
    <row r="37" spans="2:4" ht="15.75">
      <c r="B37" s="197"/>
      <c r="C37" s="182" t="s">
        <v>487</v>
      </c>
      <c r="D37" s="62">
        <v>989500</v>
      </c>
    </row>
    <row r="38" spans="2:4" ht="15.75">
      <c r="B38" s="197"/>
      <c r="C38" s="182" t="s">
        <v>488</v>
      </c>
      <c r="D38" s="62">
        <v>808250</v>
      </c>
    </row>
    <row r="39" spans="2:4" ht="15.75">
      <c r="B39" s="185" t="s">
        <v>1</v>
      </c>
      <c r="C39" s="201"/>
      <c r="D39" s="65">
        <f>SUM(D36:D38)</f>
        <v>2792425</v>
      </c>
    </row>
    <row r="40" spans="2:4" ht="16.5" thickBot="1">
      <c r="B40" s="532" t="s">
        <v>412</v>
      </c>
      <c r="C40" s="533"/>
      <c r="D40" s="196">
        <f>D35+D39</f>
        <v>6450277</v>
      </c>
    </row>
    <row r="41" spans="2:4" ht="17.25" customHeight="1" thickBot="1">
      <c r="B41" s="189"/>
      <c r="C41" s="190"/>
      <c r="D41" s="191"/>
    </row>
    <row r="42" spans="1:4" s="203" customFormat="1" ht="43.5">
      <c r="A42" s="175" t="s">
        <v>489</v>
      </c>
      <c r="B42" s="202" t="s">
        <v>490</v>
      </c>
      <c r="C42" s="193" t="s">
        <v>187</v>
      </c>
      <c r="D42" s="194" t="s">
        <v>346</v>
      </c>
    </row>
    <row r="43" spans="2:4" ht="26.25">
      <c r="B43" s="127" t="s">
        <v>199</v>
      </c>
      <c r="C43" s="182" t="s">
        <v>491</v>
      </c>
      <c r="D43" s="62">
        <v>3489000</v>
      </c>
    </row>
    <row r="44" spans="2:4" ht="15.75">
      <c r="B44" s="127"/>
      <c r="C44" s="61" t="s">
        <v>492</v>
      </c>
      <c r="D44" s="62">
        <v>938750</v>
      </c>
    </row>
    <row r="45" spans="2:4" ht="15.75">
      <c r="B45" s="185" t="s">
        <v>1</v>
      </c>
      <c r="C45" s="201"/>
      <c r="D45" s="65">
        <f>SUM(D43:D44)</f>
        <v>4427750</v>
      </c>
    </row>
    <row r="46" spans="2:4" ht="15.75">
      <c r="B46" s="534" t="s">
        <v>493</v>
      </c>
      <c r="C46" s="535"/>
      <c r="D46" s="204">
        <f>D45</f>
        <v>4427750</v>
      </c>
    </row>
    <row r="47" spans="1:4" s="102" customFormat="1" ht="16.5" thickBot="1">
      <c r="A47" s="205"/>
      <c r="B47" s="536" t="s">
        <v>494</v>
      </c>
      <c r="C47" s="537"/>
      <c r="D47" s="206">
        <f>D21+D26+D31+D40+D46</f>
        <v>16892002</v>
      </c>
    </row>
  </sheetData>
  <sheetProtection password="EE36" sheet="1" formatCells="0" formatColumns="0" formatRows="0" insertColumns="0" insertRows="0" insertHyperlinks="0" deleteColumns="0" deleteRows="0" sort="0" autoFilter="0" pivotTables="0"/>
  <mergeCells count="12">
    <mergeCell ref="B6:D6"/>
    <mergeCell ref="B7:D7"/>
    <mergeCell ref="C11:D11"/>
    <mergeCell ref="B12:D12"/>
    <mergeCell ref="B21:C21"/>
    <mergeCell ref="B26:C26"/>
    <mergeCell ref="B31:C31"/>
    <mergeCell ref="B40:C40"/>
    <mergeCell ref="B8:D8"/>
    <mergeCell ref="B10:D10"/>
    <mergeCell ref="B46:C46"/>
    <mergeCell ref="B47:C47"/>
  </mergeCells>
  <printOptions/>
  <pageMargins left="0.62" right="0.2362204724409449" top="0.4724409448818898" bottom="0.4330708661417323" header="0.2755905511811024" footer="0.2755905511811024"/>
  <pageSetup fitToHeight="1" fitToWidth="1" horizontalDpi="600" verticalDpi="600" orientation="portrait" paperSize="9" scale="89" r:id="rId1"/>
  <colBreaks count="1" manualBreakCount="1">
    <brk id="4" max="65535" man="1"/>
  </colBreaks>
</worksheet>
</file>

<file path=xl/worksheets/sheet16.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
    </sheetView>
  </sheetViews>
  <sheetFormatPr defaultColWidth="9.140625" defaultRowHeight="12.75"/>
  <cols>
    <col min="1" max="1" width="5.140625" style="207" customWidth="1"/>
    <col min="2" max="2" width="49.57421875" style="225" customWidth="1"/>
    <col min="3" max="3" width="34.8515625" style="208" bestFit="1" customWidth="1"/>
    <col min="4" max="4" width="14.8515625" style="208" bestFit="1" customWidth="1"/>
    <col min="5" max="16384" width="9.140625" style="208" customWidth="1"/>
  </cols>
  <sheetData>
    <row r="1" spans="1:4" s="59" customFormat="1" ht="15.75">
      <c r="A1" s="175"/>
      <c r="B1" s="128"/>
      <c r="C1" s="176"/>
      <c r="D1" s="14" t="s">
        <v>510</v>
      </c>
    </row>
    <row r="2" spans="1:4" s="59" customFormat="1" ht="9.75" customHeight="1">
      <c r="A2" s="175"/>
      <c r="B2" s="128"/>
      <c r="C2" s="176"/>
      <c r="D2" s="177"/>
    </row>
    <row r="3" spans="1:4" s="59" customFormat="1" ht="18.75">
      <c r="A3" s="175"/>
      <c r="B3" s="538" t="s">
        <v>71</v>
      </c>
      <c r="C3" s="538"/>
      <c r="D3" s="538"/>
    </row>
    <row r="4" spans="1:4" s="59" customFormat="1" ht="15.75">
      <c r="A4" s="175"/>
      <c r="B4" s="521" t="s">
        <v>116</v>
      </c>
      <c r="C4" s="521"/>
      <c r="D4" s="521"/>
    </row>
    <row r="5" spans="1:4" s="59" customFormat="1" ht="15.75">
      <c r="A5" s="175"/>
      <c r="B5" s="523" t="s">
        <v>76</v>
      </c>
      <c r="C5" s="523"/>
      <c r="D5" s="523"/>
    </row>
    <row r="6" spans="1:4" s="59" customFormat="1" ht="15.75">
      <c r="A6" s="175"/>
      <c r="B6" s="6"/>
      <c r="C6" s="6"/>
      <c r="D6" s="6"/>
    </row>
    <row r="7" spans="1:4" s="59" customFormat="1" ht="15.75">
      <c r="A7" s="175"/>
      <c r="B7" s="515" t="s">
        <v>468</v>
      </c>
      <c r="C7" s="515"/>
      <c r="D7" s="515"/>
    </row>
    <row r="8" spans="1:4" s="59" customFormat="1" ht="15.75">
      <c r="A8" s="175"/>
      <c r="B8" s="174"/>
      <c r="C8" s="174"/>
      <c r="D8" s="174"/>
    </row>
    <row r="9" spans="1:4" ht="12.75">
      <c r="A9" s="207" t="s">
        <v>496</v>
      </c>
      <c r="B9" s="209" t="s">
        <v>186</v>
      </c>
      <c r="C9" s="210" t="s">
        <v>187</v>
      </c>
      <c r="D9" s="210" t="s">
        <v>383</v>
      </c>
    </row>
    <row r="10" spans="2:4" ht="12.75">
      <c r="B10" s="211" t="s">
        <v>497</v>
      </c>
      <c r="C10" s="212" t="s">
        <v>498</v>
      </c>
      <c r="D10" s="213">
        <v>2312500</v>
      </c>
    </row>
    <row r="11" spans="2:4" ht="12.75">
      <c r="B11" s="214" t="s">
        <v>1</v>
      </c>
      <c r="C11" s="215"/>
      <c r="D11" s="216">
        <f>SUM(D10)</f>
        <v>2312500</v>
      </c>
    </row>
    <row r="12" spans="2:4" ht="25.5">
      <c r="B12" s="217" t="s">
        <v>446</v>
      </c>
      <c r="C12" s="212" t="s">
        <v>499</v>
      </c>
      <c r="D12" s="218">
        <v>5591248</v>
      </c>
    </row>
    <row r="13" spans="2:4" ht="12.75">
      <c r="B13" s="214" t="s">
        <v>1</v>
      </c>
      <c r="C13" s="215"/>
      <c r="D13" s="219">
        <f>SUM(D12)</f>
        <v>5591248</v>
      </c>
    </row>
    <row r="14" spans="2:4" ht="12.75">
      <c r="B14" s="547" t="s">
        <v>412</v>
      </c>
      <c r="C14" s="548"/>
      <c r="D14" s="220">
        <f>D11+D13</f>
        <v>7903748</v>
      </c>
    </row>
    <row r="16" spans="1:4" ht="12.75">
      <c r="A16" s="207" t="s">
        <v>500</v>
      </c>
      <c r="B16" s="221" t="s">
        <v>459</v>
      </c>
      <c r="C16" s="222" t="s">
        <v>187</v>
      </c>
      <c r="D16" s="222" t="s">
        <v>383</v>
      </c>
    </row>
    <row r="17" spans="2:4" ht="12.75">
      <c r="B17" s="211" t="s">
        <v>497</v>
      </c>
      <c r="C17" s="212" t="s">
        <v>501</v>
      </c>
      <c r="D17" s="223">
        <v>495443</v>
      </c>
    </row>
    <row r="18" spans="2:4" ht="12.75">
      <c r="B18" s="214" t="s">
        <v>1</v>
      </c>
      <c r="C18" s="215"/>
      <c r="D18" s="219">
        <f>SUM(D17)</f>
        <v>495443</v>
      </c>
    </row>
    <row r="19" spans="2:4" ht="12.75">
      <c r="B19" s="211" t="s">
        <v>411</v>
      </c>
      <c r="C19" s="212" t="s">
        <v>502</v>
      </c>
      <c r="D19" s="212">
        <v>907000</v>
      </c>
    </row>
    <row r="20" spans="2:4" ht="12.75">
      <c r="B20" s="214" t="s">
        <v>1</v>
      </c>
      <c r="C20" s="215"/>
      <c r="D20" s="219">
        <f>SUM(D19)</f>
        <v>907000</v>
      </c>
    </row>
    <row r="21" spans="2:4" ht="12.75">
      <c r="B21" s="547" t="s">
        <v>412</v>
      </c>
      <c r="C21" s="548"/>
      <c r="D21" s="220">
        <f>D18+D20</f>
        <v>1402443</v>
      </c>
    </row>
    <row r="23" spans="1:4" ht="12.75">
      <c r="A23" s="207" t="s">
        <v>503</v>
      </c>
      <c r="B23" s="224" t="s">
        <v>463</v>
      </c>
      <c r="C23" s="222" t="s">
        <v>187</v>
      </c>
      <c r="D23" s="222" t="s">
        <v>383</v>
      </c>
    </row>
    <row r="24" spans="2:4" ht="25.5">
      <c r="B24" s="217" t="s">
        <v>436</v>
      </c>
      <c r="C24" s="212" t="s">
        <v>504</v>
      </c>
      <c r="D24" s="212">
        <v>3931000</v>
      </c>
    </row>
    <row r="25" spans="2:4" ht="12.75">
      <c r="B25" s="214" t="s">
        <v>1</v>
      </c>
      <c r="C25" s="215"/>
      <c r="D25" s="219">
        <f>SUM(D24)</f>
        <v>3931000</v>
      </c>
    </row>
    <row r="26" spans="2:4" ht="12.75">
      <c r="B26" s="547" t="s">
        <v>412</v>
      </c>
      <c r="C26" s="548"/>
      <c r="D26" s="220">
        <f>SUM(D25)</f>
        <v>3931000</v>
      </c>
    </row>
    <row r="28" spans="1:4" ht="12.75">
      <c r="A28" s="207" t="s">
        <v>505</v>
      </c>
      <c r="B28" s="224" t="s">
        <v>506</v>
      </c>
      <c r="C28" s="222" t="s">
        <v>187</v>
      </c>
      <c r="D28" s="222" t="s">
        <v>383</v>
      </c>
    </row>
    <row r="29" spans="2:4" ht="12.75">
      <c r="B29" s="211" t="s">
        <v>403</v>
      </c>
      <c r="C29" s="212" t="s">
        <v>507</v>
      </c>
      <c r="D29" s="212">
        <v>3352555</v>
      </c>
    </row>
    <row r="30" spans="2:4" ht="12.75">
      <c r="B30" s="214" t="s">
        <v>1</v>
      </c>
      <c r="C30" s="215"/>
      <c r="D30" s="219">
        <f>SUM(D29)</f>
        <v>3352555</v>
      </c>
    </row>
    <row r="31" spans="2:4" ht="12.75">
      <c r="B31" s="547" t="s">
        <v>412</v>
      </c>
      <c r="C31" s="548"/>
      <c r="D31" s="220">
        <f>SUM(D30)</f>
        <v>3352555</v>
      </c>
    </row>
    <row r="33" spans="1:4" ht="12.75">
      <c r="A33" s="207" t="s">
        <v>508</v>
      </c>
      <c r="B33" s="224" t="s">
        <v>417</v>
      </c>
      <c r="C33" s="222" t="s">
        <v>187</v>
      </c>
      <c r="D33" s="222" t="s">
        <v>383</v>
      </c>
    </row>
    <row r="34" spans="2:4" ht="25.5">
      <c r="B34" s="217" t="s">
        <v>433</v>
      </c>
      <c r="C34" s="212" t="s">
        <v>418</v>
      </c>
      <c r="D34" s="212">
        <v>10491250</v>
      </c>
    </row>
    <row r="35" spans="2:4" ht="12.75">
      <c r="B35" s="214" t="s">
        <v>1</v>
      </c>
      <c r="C35" s="215"/>
      <c r="D35" s="219">
        <f>SUM(D34)</f>
        <v>10491250</v>
      </c>
    </row>
    <row r="36" spans="2:4" ht="12.75">
      <c r="B36" s="547" t="s">
        <v>412</v>
      </c>
      <c r="C36" s="548"/>
      <c r="D36" s="220">
        <f>SUM(D35)</f>
        <v>10491250</v>
      </c>
    </row>
    <row r="37" spans="2:4" ht="12.75">
      <c r="B37" s="546" t="s">
        <v>509</v>
      </c>
      <c r="C37" s="546"/>
      <c r="D37" s="385">
        <f>D14+D21+D26+D31+D36</f>
        <v>27080996</v>
      </c>
    </row>
  </sheetData>
  <sheetProtection password="EE36" sheet="1" formatCells="0" formatColumns="0" formatRows="0" insertColumns="0" insertRows="0" insertHyperlinks="0" deleteColumns="0" deleteRows="0" sort="0" autoFilter="0" pivotTables="0"/>
  <mergeCells count="10">
    <mergeCell ref="B37:C37"/>
    <mergeCell ref="B3:D3"/>
    <mergeCell ref="B4:D4"/>
    <mergeCell ref="B5:D5"/>
    <mergeCell ref="B7:D7"/>
    <mergeCell ref="B14:C14"/>
    <mergeCell ref="B21:C21"/>
    <mergeCell ref="B26:C26"/>
    <mergeCell ref="B31:C31"/>
    <mergeCell ref="B36:C36"/>
  </mergeCells>
  <printOptions/>
  <pageMargins left="0.24" right="0.2362204724409449" top="0.7480314960629921" bottom="0.7480314960629921" header="0.31496062992125984" footer="0.31496062992125984"/>
  <pageSetup horizontalDpi="300" verticalDpi="300" orientation="portrait" paperSize="9" scale="90" r:id="rId1"/>
  <headerFooter>
    <oddHeader>&amp;R&amp;P</oddHeader>
  </headerFooter>
</worksheet>
</file>

<file path=xl/worksheets/sheet17.xml><?xml version="1.0" encoding="utf-8"?>
<worksheet xmlns="http://schemas.openxmlformats.org/spreadsheetml/2006/main" xmlns:r="http://schemas.openxmlformats.org/officeDocument/2006/relationships">
  <dimension ref="A1:H20"/>
  <sheetViews>
    <sheetView showGridLines="0" zoomScale="85" zoomScaleNormal="85" zoomScalePageLayoutView="0" workbookViewId="0" topLeftCell="A1">
      <selection activeCell="I9" sqref="I9"/>
    </sheetView>
  </sheetViews>
  <sheetFormatPr defaultColWidth="9.140625" defaultRowHeight="12.75"/>
  <cols>
    <col min="1" max="1" width="37.8515625" style="0" customWidth="1"/>
    <col min="2" max="2" width="16.7109375" style="0" customWidth="1"/>
    <col min="3" max="7" width="14.7109375" style="0" customWidth="1"/>
  </cols>
  <sheetData>
    <row r="1" spans="7:8" ht="15.75">
      <c r="G1" s="14" t="s">
        <v>115</v>
      </c>
      <c r="H1" s="14"/>
    </row>
    <row r="2" ht="15.75">
      <c r="A2" s="5"/>
    </row>
    <row r="3" ht="15.75">
      <c r="A3" s="5"/>
    </row>
    <row r="4" ht="15.75">
      <c r="A4" s="5"/>
    </row>
    <row r="5" spans="1:7" ht="18.75">
      <c r="A5" s="538" t="s">
        <v>78</v>
      </c>
      <c r="B5" s="538"/>
      <c r="C5" s="538"/>
      <c r="D5" s="538"/>
      <c r="E5" s="538"/>
      <c r="F5" s="538"/>
      <c r="G5" s="538"/>
    </row>
    <row r="6" spans="1:7" ht="15.75">
      <c r="A6" s="521" t="s">
        <v>116</v>
      </c>
      <c r="B6" s="521"/>
      <c r="C6" s="521"/>
      <c r="D6" s="521"/>
      <c r="E6" s="521"/>
      <c r="F6" s="521"/>
      <c r="G6" s="521"/>
    </row>
    <row r="7" spans="1:7" ht="15.75">
      <c r="A7" s="14"/>
      <c r="G7" s="14" t="s">
        <v>0</v>
      </c>
    </row>
    <row r="8" spans="1:7" ht="15.75">
      <c r="A8" s="549" t="s">
        <v>79</v>
      </c>
      <c r="B8" s="549" t="s">
        <v>81</v>
      </c>
      <c r="C8" s="553" t="s">
        <v>82</v>
      </c>
      <c r="D8" s="554"/>
      <c r="E8" s="554"/>
      <c r="F8" s="555"/>
      <c r="G8" s="550" t="s">
        <v>1</v>
      </c>
    </row>
    <row r="9" spans="1:7" ht="15.75">
      <c r="A9" s="549"/>
      <c r="B9" s="549"/>
      <c r="C9" s="29"/>
      <c r="D9" s="29"/>
      <c r="E9" s="29"/>
      <c r="F9" s="29"/>
      <c r="G9" s="551"/>
    </row>
    <row r="10" spans="1:7" ht="15.75">
      <c r="A10" s="549"/>
      <c r="B10" s="549"/>
      <c r="C10" s="30"/>
      <c r="D10" s="30"/>
      <c r="E10" s="30"/>
      <c r="F10" s="30"/>
      <c r="G10" s="552"/>
    </row>
    <row r="11" spans="1:7" ht="15.75">
      <c r="A11" s="31" t="s">
        <v>72</v>
      </c>
      <c r="B11" s="25">
        <v>78746</v>
      </c>
      <c r="C11" s="25"/>
      <c r="D11" s="25"/>
      <c r="E11" s="25"/>
      <c r="F11" s="25"/>
      <c r="G11" s="25">
        <f>SUM(B11:F11)</f>
        <v>78746</v>
      </c>
    </row>
    <row r="12" spans="1:7" ht="15.75">
      <c r="A12" s="31" t="s">
        <v>80</v>
      </c>
      <c r="B12" s="25">
        <v>21881</v>
      </c>
      <c r="C12" s="25"/>
      <c r="D12" s="25"/>
      <c r="E12" s="25"/>
      <c r="F12" s="25"/>
      <c r="G12" s="25">
        <f aca="true" t="shared" si="0" ref="G12:G18">SUM(B12:F12)</f>
        <v>21881</v>
      </c>
    </row>
    <row r="13" spans="1:7" ht="15.75">
      <c r="A13" s="31" t="s">
        <v>73</v>
      </c>
      <c r="B13" s="25">
        <v>27437</v>
      </c>
      <c r="C13" s="25"/>
      <c r="D13" s="25"/>
      <c r="E13" s="25"/>
      <c r="F13" s="25"/>
      <c r="G13" s="25">
        <f t="shared" si="0"/>
        <v>27437</v>
      </c>
    </row>
    <row r="14" spans="1:7" ht="15.75">
      <c r="A14" s="31" t="s">
        <v>98</v>
      </c>
      <c r="B14" s="25"/>
      <c r="C14" s="25"/>
      <c r="D14" s="25"/>
      <c r="E14" s="25"/>
      <c r="F14" s="25"/>
      <c r="G14" s="25">
        <f t="shared" si="0"/>
        <v>0</v>
      </c>
    </row>
    <row r="15" spans="1:7" ht="15.75">
      <c r="A15" s="31" t="s">
        <v>74</v>
      </c>
      <c r="B15" s="25"/>
      <c r="C15" s="25"/>
      <c r="D15" s="25"/>
      <c r="E15" s="25"/>
      <c r="F15" s="25"/>
      <c r="G15" s="25">
        <f t="shared" si="0"/>
        <v>0</v>
      </c>
    </row>
    <row r="16" spans="1:7" ht="15.75">
      <c r="A16" s="31" t="s">
        <v>75</v>
      </c>
      <c r="B16" s="25"/>
      <c r="C16" s="25"/>
      <c r="D16" s="25"/>
      <c r="E16" s="25"/>
      <c r="F16" s="25"/>
      <c r="G16" s="25">
        <f t="shared" si="0"/>
        <v>0</v>
      </c>
    </row>
    <row r="17" spans="1:7" ht="15.75">
      <c r="A17" s="31" t="s">
        <v>99</v>
      </c>
      <c r="B17" s="25"/>
      <c r="C17" s="25"/>
      <c r="D17" s="25"/>
      <c r="E17" s="25"/>
      <c r="F17" s="25"/>
      <c r="G17" s="25">
        <f t="shared" si="0"/>
        <v>0</v>
      </c>
    </row>
    <row r="18" spans="1:7" ht="15.75">
      <c r="A18" s="31"/>
      <c r="B18" s="25"/>
      <c r="C18" s="25"/>
      <c r="D18" s="25"/>
      <c r="E18" s="25"/>
      <c r="F18" s="25"/>
      <c r="G18" s="25">
        <f t="shared" si="0"/>
        <v>0</v>
      </c>
    </row>
    <row r="19" spans="1:7" ht="15.75">
      <c r="A19" s="32" t="s">
        <v>511</v>
      </c>
      <c r="B19" s="25">
        <f aca="true" t="shared" si="1" ref="B19:G19">SUM(B11:B18)</f>
        <v>128064</v>
      </c>
      <c r="C19" s="25">
        <f t="shared" si="1"/>
        <v>0</v>
      </c>
      <c r="D19" s="25">
        <f t="shared" si="1"/>
        <v>0</v>
      </c>
      <c r="E19" s="25">
        <f t="shared" si="1"/>
        <v>0</v>
      </c>
      <c r="F19" s="25">
        <f t="shared" si="1"/>
        <v>0</v>
      </c>
      <c r="G19" s="25">
        <f t="shared" si="1"/>
        <v>128064</v>
      </c>
    </row>
    <row r="20" spans="1:7" ht="15.75">
      <c r="A20" s="33"/>
      <c r="B20" s="34"/>
      <c r="C20" s="34"/>
      <c r="D20" s="34"/>
      <c r="E20" s="34"/>
      <c r="F20" s="34"/>
      <c r="G20" s="34"/>
    </row>
  </sheetData>
  <sheetProtection password="EE36" sheet="1" formatCells="0" formatColumns="0" formatRows="0" insertColumns="0" insertRows="0" insertHyperlinks="0" deleteColumns="0" deleteRows="0" sort="0" autoFilter="0" pivotTables="0"/>
  <mergeCells count="6">
    <mergeCell ref="A5:G5"/>
    <mergeCell ref="A6:G6"/>
    <mergeCell ref="A8:A10"/>
    <mergeCell ref="B8:B10"/>
    <mergeCell ref="G8:G10"/>
    <mergeCell ref="C8:F8"/>
  </mergeCells>
  <printOptions horizontalCentered="1"/>
  <pageMargins left="0.5905511811023623" right="0.5905511811023623" top="0.7874015748031497" bottom="0.5905511811023623" header="0.5118110236220472" footer="0.5118110236220472"/>
  <pageSetup horizontalDpi="600" verticalDpi="600" orientation="landscape" paperSize="9" r:id="rId1"/>
  <headerFooter alignWithMargins="0">
    <oddHeader>&amp;C10. oldal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P33"/>
  <sheetViews>
    <sheetView showGridLines="0" zoomScalePageLayoutView="0" workbookViewId="0" topLeftCell="A1">
      <pane xSplit="2" ySplit="11" topLeftCell="F12" activePane="bottomRight" state="frozen"/>
      <selection pane="topLeft" activeCell="F25" sqref="F25"/>
      <selection pane="topRight" activeCell="F25" sqref="F25"/>
      <selection pane="bottomLeft" activeCell="F25" sqref="F25"/>
      <selection pane="bottomRight" activeCell="G12" sqref="G12:G13"/>
    </sheetView>
  </sheetViews>
  <sheetFormatPr defaultColWidth="8.00390625" defaultRowHeight="12.75"/>
  <cols>
    <col min="1" max="1" width="35.421875" style="38" bestFit="1" customWidth="1"/>
    <col min="2" max="2" width="16.421875" style="38" customWidth="1"/>
    <col min="3" max="3" width="11.421875" style="38" customWidth="1"/>
    <col min="4" max="4" width="9.28125" style="38" customWidth="1"/>
    <col min="5" max="5" width="10.00390625" style="38" bestFit="1" customWidth="1"/>
    <col min="6" max="6" width="9.28125" style="38" customWidth="1"/>
    <col min="7" max="8" width="10.00390625" style="38" bestFit="1" customWidth="1"/>
    <col min="9" max="9" width="9.28125" style="38" customWidth="1"/>
    <col min="10" max="10" width="10.00390625" style="38" bestFit="1" customWidth="1"/>
    <col min="11" max="11" width="9.8515625" style="38" bestFit="1" customWidth="1"/>
    <col min="12" max="12" width="8.00390625" style="38" customWidth="1"/>
    <col min="13" max="13" width="10.00390625" style="38" bestFit="1" customWidth="1"/>
    <col min="14" max="14" width="9.8515625" style="38" bestFit="1" customWidth="1"/>
    <col min="15" max="16384" width="8.00390625" style="38" customWidth="1"/>
  </cols>
  <sheetData>
    <row r="1" ht="15.75">
      <c r="P1" s="226" t="s">
        <v>77</v>
      </c>
    </row>
    <row r="5" spans="1:10" ht="18.75">
      <c r="A5" s="556" t="s">
        <v>84</v>
      </c>
      <c r="B5" s="556"/>
      <c r="C5" s="556"/>
      <c r="D5" s="556"/>
      <c r="E5" s="556"/>
      <c r="F5" s="556"/>
      <c r="G5" s="556"/>
      <c r="H5" s="556"/>
      <c r="I5" s="556"/>
      <c r="J5" s="556"/>
    </row>
    <row r="7" ht="13.5" thickBot="1">
      <c r="P7" s="42" t="s">
        <v>95</v>
      </c>
    </row>
    <row r="8" spans="1:16" ht="12.75">
      <c r="A8" s="227"/>
      <c r="B8" s="557" t="s">
        <v>92</v>
      </c>
      <c r="C8" s="560" t="s">
        <v>90</v>
      </c>
      <c r="D8" s="563" t="s">
        <v>85</v>
      </c>
      <c r="E8" s="566" t="s">
        <v>94</v>
      </c>
      <c r="F8" s="567"/>
      <c r="G8" s="567"/>
      <c r="H8" s="567"/>
      <c r="I8" s="567"/>
      <c r="J8" s="568"/>
      <c r="K8" s="569" t="s">
        <v>91</v>
      </c>
      <c r="L8" s="567"/>
      <c r="M8" s="567"/>
      <c r="N8" s="567"/>
      <c r="O8" s="567"/>
      <c r="P8" s="568"/>
    </row>
    <row r="9" spans="1:16" ht="12.75" customHeight="1">
      <c r="A9" s="228" t="s">
        <v>93</v>
      </c>
      <c r="B9" s="558"/>
      <c r="C9" s="561"/>
      <c r="D9" s="564"/>
      <c r="E9" s="570" t="s">
        <v>131</v>
      </c>
      <c r="F9" s="571"/>
      <c r="G9" s="572"/>
      <c r="H9" s="576" t="s">
        <v>116</v>
      </c>
      <c r="I9" s="571"/>
      <c r="J9" s="577"/>
      <c r="K9" s="580" t="s">
        <v>132</v>
      </c>
      <c r="L9" s="581"/>
      <c r="M9" s="582"/>
      <c r="N9" s="586" t="s">
        <v>133</v>
      </c>
      <c r="O9" s="581"/>
      <c r="P9" s="587"/>
    </row>
    <row r="10" spans="1:16" ht="12.75">
      <c r="A10" s="229"/>
      <c r="B10" s="558"/>
      <c r="C10" s="561"/>
      <c r="D10" s="564"/>
      <c r="E10" s="573"/>
      <c r="F10" s="574"/>
      <c r="G10" s="575"/>
      <c r="H10" s="578"/>
      <c r="I10" s="574"/>
      <c r="J10" s="579"/>
      <c r="K10" s="583"/>
      <c r="L10" s="584"/>
      <c r="M10" s="585"/>
      <c r="N10" s="588"/>
      <c r="O10" s="584"/>
      <c r="P10" s="589"/>
    </row>
    <row r="11" spans="1:16" ht="13.5" thickBot="1">
      <c r="A11" s="230" t="s">
        <v>86</v>
      </c>
      <c r="B11" s="559"/>
      <c r="C11" s="562"/>
      <c r="D11" s="565"/>
      <c r="E11" s="44" t="s">
        <v>114</v>
      </c>
      <c r="F11" s="40" t="s">
        <v>88</v>
      </c>
      <c r="G11" s="40" t="s">
        <v>1</v>
      </c>
      <c r="H11" s="44" t="s">
        <v>114</v>
      </c>
      <c r="I11" s="40" t="s">
        <v>88</v>
      </c>
      <c r="J11" s="41" t="s">
        <v>1</v>
      </c>
      <c r="K11" s="43" t="s">
        <v>87</v>
      </c>
      <c r="L11" s="40" t="s">
        <v>88</v>
      </c>
      <c r="M11" s="40" t="s">
        <v>1</v>
      </c>
      <c r="N11" s="39" t="s">
        <v>87</v>
      </c>
      <c r="O11" s="40" t="s">
        <v>88</v>
      </c>
      <c r="P11" s="41" t="s">
        <v>1</v>
      </c>
    </row>
    <row r="12" spans="1:16" ht="12.75">
      <c r="A12" s="231" t="s">
        <v>512</v>
      </c>
      <c r="B12" s="232" t="s">
        <v>513</v>
      </c>
      <c r="C12" s="590">
        <v>2667618</v>
      </c>
      <c r="D12" s="592"/>
      <c r="E12" s="594">
        <v>401598</v>
      </c>
      <c r="F12" s="596"/>
      <c r="G12" s="598">
        <v>401598</v>
      </c>
      <c r="H12" s="594">
        <v>911863</v>
      </c>
      <c r="I12" s="596"/>
      <c r="J12" s="600">
        <v>911863</v>
      </c>
      <c r="K12" s="602">
        <v>360432</v>
      </c>
      <c r="L12" s="596"/>
      <c r="M12" s="604">
        <v>360432</v>
      </c>
      <c r="N12" s="596"/>
      <c r="O12" s="596"/>
      <c r="P12" s="606"/>
    </row>
    <row r="13" spans="1:16" ht="26.25" thickBot="1">
      <c r="A13" s="233" t="s">
        <v>514</v>
      </c>
      <c r="B13" s="234" t="s">
        <v>515</v>
      </c>
      <c r="C13" s="591"/>
      <c r="D13" s="593"/>
      <c r="E13" s="595"/>
      <c r="F13" s="597"/>
      <c r="G13" s="599"/>
      <c r="H13" s="595"/>
      <c r="I13" s="597"/>
      <c r="J13" s="601"/>
      <c r="K13" s="603"/>
      <c r="L13" s="597"/>
      <c r="M13" s="605"/>
      <c r="N13" s="597"/>
      <c r="O13" s="597"/>
      <c r="P13" s="607"/>
    </row>
    <row r="14" spans="1:16" ht="12.75">
      <c r="A14" s="235" t="s">
        <v>516</v>
      </c>
      <c r="B14" s="232" t="s">
        <v>517</v>
      </c>
      <c r="C14" s="608">
        <v>99247</v>
      </c>
      <c r="D14" s="592"/>
      <c r="E14" s="609"/>
      <c r="F14" s="596"/>
      <c r="G14" s="611"/>
      <c r="H14" s="609"/>
      <c r="I14" s="596"/>
      <c r="J14" s="613"/>
      <c r="K14" s="602">
        <v>99247</v>
      </c>
      <c r="L14" s="596"/>
      <c r="M14" s="604">
        <v>99247</v>
      </c>
      <c r="N14" s="596"/>
      <c r="O14" s="596"/>
      <c r="P14" s="606"/>
    </row>
    <row r="15" spans="1:16" ht="26.25" thickBot="1">
      <c r="A15" s="236" t="s">
        <v>518</v>
      </c>
      <c r="B15" s="237" t="s">
        <v>519</v>
      </c>
      <c r="C15" s="608"/>
      <c r="D15" s="593"/>
      <c r="E15" s="610"/>
      <c r="F15" s="597"/>
      <c r="G15" s="612"/>
      <c r="H15" s="610"/>
      <c r="I15" s="597"/>
      <c r="J15" s="614"/>
      <c r="K15" s="603"/>
      <c r="L15" s="597"/>
      <c r="M15" s="605"/>
      <c r="N15" s="597"/>
      <c r="O15" s="597"/>
      <c r="P15" s="607"/>
    </row>
    <row r="16" spans="1:16" ht="12.75">
      <c r="A16" s="238" t="s">
        <v>520</v>
      </c>
      <c r="B16" s="232" t="s">
        <v>521</v>
      </c>
      <c r="C16" s="615">
        <v>195548</v>
      </c>
      <c r="D16" s="592"/>
      <c r="E16" s="609"/>
      <c r="F16" s="596"/>
      <c r="G16" s="611"/>
      <c r="H16" s="594" t="s">
        <v>522</v>
      </c>
      <c r="I16" s="617"/>
      <c r="J16" s="600" t="s">
        <v>522</v>
      </c>
      <c r="K16" s="602">
        <v>188356</v>
      </c>
      <c r="L16" s="596"/>
      <c r="M16" s="604">
        <v>195548</v>
      </c>
      <c r="N16" s="596"/>
      <c r="O16" s="596"/>
      <c r="P16" s="606"/>
    </row>
    <row r="17" spans="1:16" ht="26.25" thickBot="1">
      <c r="A17" s="233" t="s">
        <v>523</v>
      </c>
      <c r="B17" s="234" t="s">
        <v>519</v>
      </c>
      <c r="C17" s="616"/>
      <c r="D17" s="593"/>
      <c r="E17" s="610"/>
      <c r="F17" s="597"/>
      <c r="G17" s="612"/>
      <c r="H17" s="595"/>
      <c r="I17" s="605"/>
      <c r="J17" s="601"/>
      <c r="K17" s="603"/>
      <c r="L17" s="597"/>
      <c r="M17" s="605"/>
      <c r="N17" s="597"/>
      <c r="O17" s="597"/>
      <c r="P17" s="607"/>
    </row>
    <row r="18" spans="1:16" ht="12.75">
      <c r="A18" s="239" t="s">
        <v>524</v>
      </c>
      <c r="B18" s="232" t="s">
        <v>517</v>
      </c>
      <c r="C18" s="615">
        <v>725474</v>
      </c>
      <c r="D18" s="592"/>
      <c r="E18" s="609"/>
      <c r="F18" s="596"/>
      <c r="G18" s="611"/>
      <c r="H18" s="609"/>
      <c r="I18" s="596"/>
      <c r="J18" s="613"/>
      <c r="K18" s="602">
        <v>725474</v>
      </c>
      <c r="L18" s="596"/>
      <c r="M18" s="604">
        <v>725474</v>
      </c>
      <c r="N18" s="596"/>
      <c r="O18" s="596"/>
      <c r="P18" s="606"/>
    </row>
    <row r="19" spans="1:16" ht="39" thickBot="1">
      <c r="A19" s="240" t="s">
        <v>525</v>
      </c>
      <c r="B19" s="234" t="s">
        <v>526</v>
      </c>
      <c r="C19" s="616"/>
      <c r="D19" s="593"/>
      <c r="E19" s="610"/>
      <c r="F19" s="597"/>
      <c r="G19" s="612"/>
      <c r="H19" s="610"/>
      <c r="I19" s="597"/>
      <c r="J19" s="614"/>
      <c r="K19" s="603"/>
      <c r="L19" s="597"/>
      <c r="M19" s="605"/>
      <c r="N19" s="597"/>
      <c r="O19" s="597"/>
      <c r="P19" s="607"/>
    </row>
    <row r="20" spans="1:16" ht="12.75">
      <c r="A20" s="241" t="s">
        <v>527</v>
      </c>
      <c r="B20" s="242" t="s">
        <v>528</v>
      </c>
      <c r="C20" s="618">
        <v>464063</v>
      </c>
      <c r="D20" s="620">
        <v>116016</v>
      </c>
      <c r="E20" s="622"/>
      <c r="F20" s="624"/>
      <c r="G20" s="626"/>
      <c r="H20" s="628">
        <v>348047</v>
      </c>
      <c r="I20" s="630">
        <v>116016</v>
      </c>
      <c r="J20" s="632">
        <v>464063</v>
      </c>
      <c r="K20" s="634"/>
      <c r="L20" s="596"/>
      <c r="M20" s="596"/>
      <c r="N20" s="596"/>
      <c r="O20" s="596"/>
      <c r="P20" s="606"/>
    </row>
    <row r="21" spans="1:16" ht="39" thickBot="1">
      <c r="A21" s="243" t="s">
        <v>529</v>
      </c>
      <c r="B21" s="244" t="s">
        <v>530</v>
      </c>
      <c r="C21" s="619"/>
      <c r="D21" s="621"/>
      <c r="E21" s="623"/>
      <c r="F21" s="625"/>
      <c r="G21" s="627"/>
      <c r="H21" s="629"/>
      <c r="I21" s="631"/>
      <c r="J21" s="633"/>
      <c r="K21" s="635"/>
      <c r="L21" s="597"/>
      <c r="M21" s="597"/>
      <c r="N21" s="597"/>
      <c r="O21" s="597"/>
      <c r="P21" s="607"/>
    </row>
    <row r="22" spans="1:16" ht="12.75">
      <c r="A22" s="245" t="s">
        <v>531</v>
      </c>
      <c r="B22" s="242" t="s">
        <v>528</v>
      </c>
      <c r="C22" s="636">
        <v>264365</v>
      </c>
      <c r="D22" s="637">
        <v>66091</v>
      </c>
      <c r="E22" s="622"/>
      <c r="F22" s="624"/>
      <c r="G22" s="626"/>
      <c r="H22" s="628">
        <v>198274</v>
      </c>
      <c r="I22" s="630">
        <v>66091</v>
      </c>
      <c r="J22" s="632">
        <v>264365</v>
      </c>
      <c r="K22" s="634"/>
      <c r="L22" s="596"/>
      <c r="M22" s="596"/>
      <c r="N22" s="596"/>
      <c r="O22" s="596"/>
      <c r="P22" s="606"/>
    </row>
    <row r="23" spans="1:16" ht="64.5" thickBot="1">
      <c r="A23" s="246" t="s">
        <v>532</v>
      </c>
      <c r="B23" s="247" t="s">
        <v>530</v>
      </c>
      <c r="C23" s="636"/>
      <c r="D23" s="637"/>
      <c r="E23" s="623"/>
      <c r="F23" s="625"/>
      <c r="G23" s="627"/>
      <c r="H23" s="629"/>
      <c r="I23" s="631"/>
      <c r="J23" s="633"/>
      <c r="K23" s="638"/>
      <c r="L23" s="639"/>
      <c r="M23" s="639"/>
      <c r="N23" s="639"/>
      <c r="O23" s="639"/>
      <c r="P23" s="640"/>
    </row>
    <row r="24" spans="1:16" ht="12.75">
      <c r="A24" s="231" t="s">
        <v>533</v>
      </c>
      <c r="B24" s="232" t="s">
        <v>534</v>
      </c>
      <c r="C24" s="615">
        <v>465389</v>
      </c>
      <c r="D24" s="592"/>
      <c r="E24" s="609"/>
      <c r="F24" s="596"/>
      <c r="G24" s="611"/>
      <c r="H24" s="594">
        <v>465389</v>
      </c>
      <c r="I24" s="596"/>
      <c r="J24" s="600">
        <v>465389</v>
      </c>
      <c r="K24" s="642"/>
      <c r="L24" s="596"/>
      <c r="M24" s="596"/>
      <c r="N24" s="596"/>
      <c r="O24" s="596"/>
      <c r="P24" s="613"/>
    </row>
    <row r="25" spans="1:16" ht="13.5" thickBot="1">
      <c r="A25" s="248" t="s">
        <v>535</v>
      </c>
      <c r="B25" s="249" t="s">
        <v>536</v>
      </c>
      <c r="C25" s="616"/>
      <c r="D25" s="593"/>
      <c r="E25" s="610"/>
      <c r="F25" s="597"/>
      <c r="G25" s="612"/>
      <c r="H25" s="595"/>
      <c r="I25" s="641"/>
      <c r="J25" s="601"/>
      <c r="K25" s="643"/>
      <c r="L25" s="597"/>
      <c r="M25" s="597"/>
      <c r="N25" s="597"/>
      <c r="O25" s="597"/>
      <c r="P25" s="614"/>
    </row>
    <row r="26" spans="1:16" s="254" customFormat="1" ht="13.5" thickBot="1">
      <c r="A26" s="251" t="s">
        <v>537</v>
      </c>
      <c r="B26" s="251" t="s">
        <v>538</v>
      </c>
      <c r="C26" s="252">
        <v>30073</v>
      </c>
      <c r="D26" s="253"/>
      <c r="E26" s="253">
        <v>16080</v>
      </c>
      <c r="F26" s="253"/>
      <c r="G26" s="253"/>
      <c r="H26" s="253">
        <v>13993</v>
      </c>
      <c r="I26" s="253"/>
      <c r="J26" s="253"/>
      <c r="K26" s="253"/>
      <c r="L26" s="253"/>
      <c r="M26" s="253"/>
      <c r="N26" s="253"/>
      <c r="O26" s="253"/>
      <c r="P26" s="253"/>
    </row>
    <row r="27" spans="1:16" s="254" customFormat="1" ht="13.5" thickBot="1">
      <c r="A27" s="251" t="s">
        <v>539</v>
      </c>
      <c r="B27" s="251" t="s">
        <v>540</v>
      </c>
      <c r="C27" s="252">
        <v>27637</v>
      </c>
      <c r="D27" s="253"/>
      <c r="E27" s="253">
        <v>23516</v>
      </c>
      <c r="F27" s="253"/>
      <c r="G27" s="253"/>
      <c r="H27" s="253">
        <v>4121</v>
      </c>
      <c r="I27" s="253"/>
      <c r="J27" s="253"/>
      <c r="K27" s="253"/>
      <c r="L27" s="253"/>
      <c r="M27" s="253"/>
      <c r="N27" s="253"/>
      <c r="O27" s="253"/>
      <c r="P27" s="253"/>
    </row>
    <row r="28" spans="1:16" s="254" customFormat="1" ht="13.5" thickBot="1">
      <c r="A28" s="251" t="s">
        <v>541</v>
      </c>
      <c r="B28" s="251" t="s">
        <v>540</v>
      </c>
      <c r="C28" s="252">
        <v>17957</v>
      </c>
      <c r="D28" s="253"/>
      <c r="E28" s="253">
        <v>15769</v>
      </c>
      <c r="F28" s="253"/>
      <c r="G28" s="253"/>
      <c r="H28" s="253">
        <v>2188</v>
      </c>
      <c r="I28" s="253"/>
      <c r="J28" s="253"/>
      <c r="K28" s="253"/>
      <c r="L28" s="253"/>
      <c r="M28" s="253"/>
      <c r="N28" s="253"/>
      <c r="O28" s="253"/>
      <c r="P28" s="253"/>
    </row>
    <row r="29" spans="1:16" s="254" customFormat="1" ht="13.5" thickBot="1">
      <c r="A29" s="251" t="s">
        <v>542</v>
      </c>
      <c r="B29" s="251" t="s">
        <v>543</v>
      </c>
      <c r="C29" s="252">
        <v>10373</v>
      </c>
      <c r="D29" s="253"/>
      <c r="E29" s="253"/>
      <c r="F29" s="253"/>
      <c r="G29" s="253"/>
      <c r="H29" s="253">
        <v>10373</v>
      </c>
      <c r="I29" s="253"/>
      <c r="J29" s="253"/>
      <c r="K29" s="253"/>
      <c r="L29" s="253"/>
      <c r="M29" s="253"/>
      <c r="N29" s="253"/>
      <c r="O29" s="253"/>
      <c r="P29" s="253"/>
    </row>
    <row r="30" spans="1:16" s="254" customFormat="1" ht="13.5" thickBot="1">
      <c r="A30" s="251" t="s">
        <v>544</v>
      </c>
      <c r="B30" s="251" t="s">
        <v>545</v>
      </c>
      <c r="C30" s="252">
        <v>23681</v>
      </c>
      <c r="D30" s="253"/>
      <c r="E30" s="253">
        <v>23681</v>
      </c>
      <c r="F30" s="253"/>
      <c r="G30" s="253"/>
      <c r="H30" s="253"/>
      <c r="I30" s="253"/>
      <c r="J30" s="253"/>
      <c r="K30" s="253"/>
      <c r="L30" s="253"/>
      <c r="M30" s="253"/>
      <c r="N30" s="253"/>
      <c r="O30" s="253"/>
      <c r="P30" s="253"/>
    </row>
    <row r="31" spans="1:16" s="254" customFormat="1" ht="13.5" thickBot="1">
      <c r="A31" s="251" t="s">
        <v>546</v>
      </c>
      <c r="B31" s="251" t="s">
        <v>545</v>
      </c>
      <c r="C31" s="252">
        <v>7915</v>
      </c>
      <c r="D31" s="253">
        <v>1583</v>
      </c>
      <c r="E31" s="253">
        <v>3085</v>
      </c>
      <c r="F31" s="253"/>
      <c r="G31" s="253"/>
      <c r="H31" s="253">
        <v>2500</v>
      </c>
      <c r="I31" s="253"/>
      <c r="J31" s="253"/>
      <c r="K31" s="253"/>
      <c r="L31" s="253"/>
      <c r="M31" s="253"/>
      <c r="N31" s="253"/>
      <c r="O31" s="253"/>
      <c r="P31" s="253"/>
    </row>
    <row r="33" ht="89.25">
      <c r="A33" s="250" t="s">
        <v>547</v>
      </c>
    </row>
  </sheetData>
  <sheetProtection password="EE36" sheet="1" formatCells="0" formatColumns="0" formatRows="0" insertColumns="0" insertRows="0" insertHyperlinks="0" deleteColumns="0" deleteRows="0" sort="0" autoFilter="0" pivotTables="0"/>
  <mergeCells count="108">
    <mergeCell ref="O24:O25"/>
    <mergeCell ref="P24:P25"/>
    <mergeCell ref="I24:I25"/>
    <mergeCell ref="J24:J25"/>
    <mergeCell ref="K24:K25"/>
    <mergeCell ref="L24:L25"/>
    <mergeCell ref="M24:M25"/>
    <mergeCell ref="N24:N25"/>
    <mergeCell ref="C24:C25"/>
    <mergeCell ref="D24:D25"/>
    <mergeCell ref="E24:E25"/>
    <mergeCell ref="F24:F25"/>
    <mergeCell ref="G24:G25"/>
    <mergeCell ref="H24:H25"/>
    <mergeCell ref="K22:K23"/>
    <mergeCell ref="L22:L23"/>
    <mergeCell ref="M22:M23"/>
    <mergeCell ref="N22:N23"/>
    <mergeCell ref="O22:O23"/>
    <mergeCell ref="P22:P23"/>
    <mergeCell ref="O20:O21"/>
    <mergeCell ref="P20:P21"/>
    <mergeCell ref="C22:C23"/>
    <mergeCell ref="D22:D23"/>
    <mergeCell ref="E22:E23"/>
    <mergeCell ref="F22:F23"/>
    <mergeCell ref="G22:G23"/>
    <mergeCell ref="H22:H23"/>
    <mergeCell ref="I22:I23"/>
    <mergeCell ref="J22:J23"/>
    <mergeCell ref="I20:I21"/>
    <mergeCell ref="J20:J21"/>
    <mergeCell ref="K20:K21"/>
    <mergeCell ref="L20:L21"/>
    <mergeCell ref="M20:M21"/>
    <mergeCell ref="N20:N21"/>
    <mergeCell ref="C20:C21"/>
    <mergeCell ref="D20:D21"/>
    <mergeCell ref="E20:E21"/>
    <mergeCell ref="F20:F21"/>
    <mergeCell ref="G20:G21"/>
    <mergeCell ref="H20:H21"/>
    <mergeCell ref="K18:K19"/>
    <mergeCell ref="L18:L19"/>
    <mergeCell ref="M18:M19"/>
    <mergeCell ref="N18:N19"/>
    <mergeCell ref="O18:O19"/>
    <mergeCell ref="P18:P19"/>
    <mergeCell ref="O16:O17"/>
    <mergeCell ref="P16:P17"/>
    <mergeCell ref="C18:C19"/>
    <mergeCell ref="D18:D19"/>
    <mergeCell ref="E18:E19"/>
    <mergeCell ref="F18:F19"/>
    <mergeCell ref="G18:G19"/>
    <mergeCell ref="H18:H19"/>
    <mergeCell ref="I18:I19"/>
    <mergeCell ref="J18:J19"/>
    <mergeCell ref="I16:I17"/>
    <mergeCell ref="J16:J17"/>
    <mergeCell ref="K16:K17"/>
    <mergeCell ref="L16:L17"/>
    <mergeCell ref="M16:M17"/>
    <mergeCell ref="N16:N17"/>
    <mergeCell ref="C16:C17"/>
    <mergeCell ref="D16:D17"/>
    <mergeCell ref="E16:E17"/>
    <mergeCell ref="F16:F17"/>
    <mergeCell ref="G16:G17"/>
    <mergeCell ref="H16:H17"/>
    <mergeCell ref="K14:K15"/>
    <mergeCell ref="L14:L15"/>
    <mergeCell ref="M14:M15"/>
    <mergeCell ref="N14:N15"/>
    <mergeCell ref="O14:O15"/>
    <mergeCell ref="P14:P15"/>
    <mergeCell ref="O12:O13"/>
    <mergeCell ref="P12:P13"/>
    <mergeCell ref="C14:C15"/>
    <mergeCell ref="D14:D15"/>
    <mergeCell ref="E14:E15"/>
    <mergeCell ref="F14:F15"/>
    <mergeCell ref="G14:G15"/>
    <mergeCell ref="H14:H15"/>
    <mergeCell ref="I14:I15"/>
    <mergeCell ref="J14:J15"/>
    <mergeCell ref="I12:I13"/>
    <mergeCell ref="J12:J13"/>
    <mergeCell ref="K12:K13"/>
    <mergeCell ref="L12:L13"/>
    <mergeCell ref="M12:M13"/>
    <mergeCell ref="N12:N13"/>
    <mergeCell ref="C12:C13"/>
    <mergeCell ref="D12:D13"/>
    <mergeCell ref="E12:E13"/>
    <mergeCell ref="F12:F13"/>
    <mergeCell ref="G12:G13"/>
    <mergeCell ref="H12:H13"/>
    <mergeCell ref="A5:J5"/>
    <mergeCell ref="B8:B11"/>
    <mergeCell ref="C8:C11"/>
    <mergeCell ref="D8:D11"/>
    <mergeCell ref="E8:J8"/>
    <mergeCell ref="K8:P8"/>
    <mergeCell ref="E9:G10"/>
    <mergeCell ref="H9:J10"/>
    <mergeCell ref="K9:M10"/>
    <mergeCell ref="N9:P10"/>
  </mergeCells>
  <printOptions/>
  <pageMargins left="0.35433070866141736" right="0.1968503937007874" top="0.5511811023622047" bottom="0.4330708661417323" header="0.2362204724409449" footer="0.2362204724409449"/>
  <pageSetup fitToHeight="1" fitToWidth="1" horizontalDpi="600" verticalDpi="600" orientation="landscape" paperSize="9" scale="78" r:id="rId1"/>
  <headerFooter alignWithMargins="0">
    <oddHeader>&amp;C12. oldal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pane xSplit="2" ySplit="3" topLeftCell="C13" activePane="bottomRight" state="frozen"/>
      <selection pane="topLeft" activeCell="F25" sqref="F25"/>
      <selection pane="topRight" activeCell="F25" sqref="F25"/>
      <selection pane="bottomLeft" activeCell="F25" sqref="F25"/>
      <selection pane="bottomRight" activeCell="E37" sqref="E37"/>
    </sheetView>
  </sheetViews>
  <sheetFormatPr defaultColWidth="9.140625" defaultRowHeight="12.75"/>
  <cols>
    <col min="1" max="1" width="9.7109375" style="330" customWidth="1"/>
    <col min="2" max="2" width="10.8515625" style="330" customWidth="1"/>
    <col min="3" max="3" width="10.57421875" style="330" customWidth="1"/>
    <col min="4" max="4" width="11.8515625" style="330" customWidth="1"/>
    <col min="5" max="5" width="11.421875" style="330" customWidth="1"/>
    <col min="6" max="6" width="10.140625" style="330" customWidth="1"/>
    <col min="7" max="7" width="10.57421875" style="330" customWidth="1"/>
    <col min="8" max="8" width="10.28125" style="330" customWidth="1"/>
    <col min="9" max="9" width="7.421875" style="330" customWidth="1"/>
    <col min="10" max="10" width="10.8515625" style="330" customWidth="1"/>
    <col min="11" max="11" width="9.57421875" style="330" customWidth="1"/>
    <col min="12" max="12" width="13.140625" style="330" customWidth="1"/>
    <col min="13" max="13" width="9.421875" style="330" customWidth="1"/>
    <col min="14" max="14" width="10.421875" style="330" customWidth="1"/>
    <col min="15" max="15" width="14.421875" style="330" customWidth="1"/>
    <col min="16" max="16384" width="9.140625" style="330" customWidth="1"/>
  </cols>
  <sheetData>
    <row r="1" spans="2:15" ht="12.75">
      <c r="B1" s="425"/>
      <c r="C1" s="425"/>
      <c r="O1" s="330" t="s">
        <v>962</v>
      </c>
    </row>
    <row r="3" spans="1:19" ht="66" customHeight="1">
      <c r="A3" s="331"/>
      <c r="B3" s="331"/>
      <c r="C3" s="332" t="s">
        <v>72</v>
      </c>
      <c r="D3" s="332" t="s">
        <v>80</v>
      </c>
      <c r="E3" s="332" t="s">
        <v>73</v>
      </c>
      <c r="F3" s="333" t="s">
        <v>963</v>
      </c>
      <c r="G3" s="334" t="s">
        <v>1</v>
      </c>
      <c r="H3" s="332" t="s">
        <v>74</v>
      </c>
      <c r="I3" s="335" t="s">
        <v>75</v>
      </c>
      <c r="J3" s="333" t="s">
        <v>964</v>
      </c>
      <c r="K3" s="336" t="s">
        <v>1</v>
      </c>
      <c r="L3" s="332" t="s">
        <v>965</v>
      </c>
      <c r="M3" s="332" t="s">
        <v>966</v>
      </c>
      <c r="N3" s="337" t="s">
        <v>1</v>
      </c>
      <c r="O3" s="337" t="s">
        <v>250</v>
      </c>
      <c r="P3" s="338"/>
      <c r="Q3" s="338"/>
      <c r="R3" s="338"/>
      <c r="S3" s="338"/>
    </row>
    <row r="4" spans="1:19" ht="12.75">
      <c r="A4" s="426" t="s">
        <v>967</v>
      </c>
      <c r="B4" s="335">
        <v>2007</v>
      </c>
      <c r="C4" s="339">
        <v>14098900</v>
      </c>
      <c r="D4" s="339">
        <v>4460700</v>
      </c>
      <c r="E4" s="339">
        <v>10581800</v>
      </c>
      <c r="F4" s="339">
        <v>0</v>
      </c>
      <c r="G4" s="340">
        <f>C4+D4+E4+F4</f>
        <v>29141400</v>
      </c>
      <c r="H4" s="339">
        <v>0</v>
      </c>
      <c r="I4" s="339">
        <v>0</v>
      </c>
      <c r="J4" s="339">
        <v>0</v>
      </c>
      <c r="K4" s="340">
        <f>H4+I4+J4</f>
        <v>0</v>
      </c>
      <c r="L4" s="339">
        <v>0</v>
      </c>
      <c r="M4" s="339">
        <v>0</v>
      </c>
      <c r="N4" s="340">
        <v>0</v>
      </c>
      <c r="O4" s="340">
        <f>G4+K4+N4</f>
        <v>29141400</v>
      </c>
      <c r="P4" s="338"/>
      <c r="Q4" s="338"/>
      <c r="R4" s="338"/>
      <c r="S4" s="338"/>
    </row>
    <row r="5" spans="1:19" ht="12.75" customHeight="1">
      <c r="A5" s="426"/>
      <c r="B5" s="335">
        <v>2008</v>
      </c>
      <c r="C5" s="339">
        <v>15581500</v>
      </c>
      <c r="D5" s="339">
        <v>4935800</v>
      </c>
      <c r="E5" s="339">
        <v>11228200</v>
      </c>
      <c r="F5" s="341">
        <v>0</v>
      </c>
      <c r="G5" s="340">
        <f>C5+D5+E5+F5</f>
        <v>31745500</v>
      </c>
      <c r="H5" s="339">
        <v>987500</v>
      </c>
      <c r="I5" s="339">
        <v>0</v>
      </c>
      <c r="J5" s="339">
        <v>0</v>
      </c>
      <c r="K5" s="340">
        <f>H5+I5+J5</f>
        <v>987500</v>
      </c>
      <c r="L5" s="339">
        <v>0</v>
      </c>
      <c r="M5" s="339">
        <v>0</v>
      </c>
      <c r="N5" s="340">
        <v>0</v>
      </c>
      <c r="O5" s="340">
        <f>G5+K5+N5</f>
        <v>32733000</v>
      </c>
      <c r="P5" s="338"/>
      <c r="Q5" s="338"/>
      <c r="R5" s="338"/>
      <c r="S5" s="338"/>
    </row>
    <row r="6" spans="1:19" ht="12.75">
      <c r="A6" s="426"/>
      <c r="B6" s="335">
        <v>2009</v>
      </c>
      <c r="C6" s="339">
        <v>18204100</v>
      </c>
      <c r="D6" s="339">
        <v>5825300</v>
      </c>
      <c r="E6" s="339">
        <v>5921700</v>
      </c>
      <c r="F6" s="341">
        <v>0</v>
      </c>
      <c r="G6" s="340">
        <f>C6+D6+E6+F6</f>
        <v>29951100</v>
      </c>
      <c r="H6" s="339">
        <v>0</v>
      </c>
      <c r="I6" s="339">
        <v>0</v>
      </c>
      <c r="J6" s="339">
        <v>0</v>
      </c>
      <c r="K6" s="340">
        <f>H6+I6+J6</f>
        <v>0</v>
      </c>
      <c r="L6" s="339">
        <v>0</v>
      </c>
      <c r="M6" s="339">
        <v>0</v>
      </c>
      <c r="N6" s="340">
        <v>0</v>
      </c>
      <c r="O6" s="340">
        <f>G6+K6+N6</f>
        <v>29951100</v>
      </c>
      <c r="P6" s="338"/>
      <c r="Q6" s="338"/>
      <c r="R6" s="338"/>
      <c r="S6" s="338"/>
    </row>
    <row r="7" spans="1:19" ht="12.75">
      <c r="A7" s="426"/>
      <c r="B7" s="335">
        <v>2010</v>
      </c>
      <c r="C7" s="339">
        <v>18204100</v>
      </c>
      <c r="D7" s="339">
        <v>5306700</v>
      </c>
      <c r="E7" s="339">
        <v>5371700</v>
      </c>
      <c r="F7" s="341">
        <v>0</v>
      </c>
      <c r="G7" s="340">
        <f>C7+D7+E7+F7</f>
        <v>28882500</v>
      </c>
      <c r="H7" s="339">
        <v>0</v>
      </c>
      <c r="I7" s="339">
        <v>0</v>
      </c>
      <c r="J7" s="339">
        <v>0</v>
      </c>
      <c r="K7" s="340">
        <f>H7+I7+J7</f>
        <v>0</v>
      </c>
      <c r="L7" s="339">
        <v>0</v>
      </c>
      <c r="M7" s="339">
        <v>0</v>
      </c>
      <c r="N7" s="340">
        <v>0</v>
      </c>
      <c r="O7" s="340">
        <f>G7+K7+N7</f>
        <v>28882500</v>
      </c>
      <c r="P7" s="338"/>
      <c r="Q7" s="338"/>
      <c r="R7" s="338"/>
      <c r="S7" s="338"/>
    </row>
    <row r="8" spans="1:19" ht="25.5">
      <c r="A8" s="426"/>
      <c r="B8" s="332" t="s">
        <v>968</v>
      </c>
      <c r="C8" s="342">
        <f>ROUND(C7/C4,2)</f>
        <v>1.29</v>
      </c>
      <c r="D8" s="342">
        <f>ROUND(D7/D4,2)</f>
        <v>1.19</v>
      </c>
      <c r="E8" s="342">
        <f>ROUND(E7/E4,2)</f>
        <v>0.51</v>
      </c>
      <c r="F8" s="342">
        <v>0</v>
      </c>
      <c r="G8" s="343">
        <f>ROUND(G7/G4,2)</f>
        <v>0.99</v>
      </c>
      <c r="H8" s="342">
        <v>0</v>
      </c>
      <c r="I8" s="342">
        <v>0</v>
      </c>
      <c r="J8" s="342">
        <v>0</v>
      </c>
      <c r="K8" s="343">
        <v>0</v>
      </c>
      <c r="L8" s="342">
        <v>0</v>
      </c>
      <c r="M8" s="342">
        <v>0</v>
      </c>
      <c r="N8" s="342">
        <v>0</v>
      </c>
      <c r="O8" s="343">
        <f>ROUND(O7/O4,2)</f>
        <v>0.99</v>
      </c>
      <c r="P8" s="338"/>
      <c r="Q8" s="338"/>
      <c r="R8" s="338"/>
      <c r="S8" s="338"/>
    </row>
    <row r="9" spans="1:19" ht="25.5">
      <c r="A9" s="426"/>
      <c r="B9" s="332" t="s">
        <v>969</v>
      </c>
      <c r="C9" s="342">
        <f>ROUND(C7/C6,2)</f>
        <v>1</v>
      </c>
      <c r="D9" s="342">
        <f>ROUND(D7/D6,2)</f>
        <v>0.91</v>
      </c>
      <c r="E9" s="342">
        <f>ROUND(E7/E6,2)</f>
        <v>0.91</v>
      </c>
      <c r="F9" s="342">
        <v>0</v>
      </c>
      <c r="G9" s="343">
        <f>ROUND(G7/G6,2)</f>
        <v>0.96</v>
      </c>
      <c r="H9" s="342">
        <v>0</v>
      </c>
      <c r="I9" s="342">
        <v>0</v>
      </c>
      <c r="J9" s="342">
        <v>0</v>
      </c>
      <c r="K9" s="343">
        <v>0</v>
      </c>
      <c r="L9" s="342">
        <v>0</v>
      </c>
      <c r="M9" s="342">
        <v>0</v>
      </c>
      <c r="N9" s="342">
        <v>0</v>
      </c>
      <c r="O9" s="343">
        <f>ROUND(O7/O6,2)</f>
        <v>0.96</v>
      </c>
      <c r="P9" s="338"/>
      <c r="Q9" s="338"/>
      <c r="R9" s="338"/>
      <c r="S9" s="338"/>
    </row>
    <row r="10" spans="1:19" ht="12.75" customHeight="1">
      <c r="A10" s="426" t="s">
        <v>37</v>
      </c>
      <c r="B10" s="335">
        <v>2007</v>
      </c>
      <c r="C10" s="339">
        <v>23774944</v>
      </c>
      <c r="D10" s="339">
        <v>6510332</v>
      </c>
      <c r="E10" s="339">
        <v>12191372</v>
      </c>
      <c r="F10" s="339">
        <v>2248677</v>
      </c>
      <c r="G10" s="340">
        <f>C10+D10+E10+F10</f>
        <v>44725325</v>
      </c>
      <c r="H10" s="339">
        <v>1510916</v>
      </c>
      <c r="I10" s="339">
        <v>112907</v>
      </c>
      <c r="J10" s="339">
        <v>38005</v>
      </c>
      <c r="K10" s="340">
        <f>H10+I10+J10</f>
        <v>1661828</v>
      </c>
      <c r="L10" s="339">
        <v>648471</v>
      </c>
      <c r="M10" s="339">
        <v>20600</v>
      </c>
      <c r="N10" s="340">
        <f>L10+M10</f>
        <v>669071</v>
      </c>
      <c r="O10" s="340">
        <f>G10+K10+N10</f>
        <v>47056224</v>
      </c>
      <c r="P10" s="338"/>
      <c r="Q10" s="338"/>
      <c r="R10" s="338"/>
      <c r="S10" s="338"/>
    </row>
    <row r="11" spans="1:19" ht="12.75" customHeight="1">
      <c r="A11" s="426"/>
      <c r="B11" s="335">
        <v>2008</v>
      </c>
      <c r="C11" s="339">
        <v>23808571</v>
      </c>
      <c r="D11" s="339">
        <v>7254448</v>
      </c>
      <c r="E11" s="339">
        <v>12660219</v>
      </c>
      <c r="F11" s="341">
        <v>526254</v>
      </c>
      <c r="G11" s="340">
        <f>C11+D11+E11+F11</f>
        <v>44249492</v>
      </c>
      <c r="H11" s="339">
        <v>1365192</v>
      </c>
      <c r="I11" s="339">
        <v>70000</v>
      </c>
      <c r="J11" s="339">
        <v>0</v>
      </c>
      <c r="K11" s="340">
        <f>H11+I11+J11</f>
        <v>1435192</v>
      </c>
      <c r="L11" s="339">
        <v>103023</v>
      </c>
      <c r="M11" s="339">
        <v>0</v>
      </c>
      <c r="N11" s="340">
        <f>L11+M11</f>
        <v>103023</v>
      </c>
      <c r="O11" s="340">
        <f>G11+K11+N11</f>
        <v>45787707</v>
      </c>
      <c r="P11" s="338"/>
      <c r="Q11" s="338"/>
      <c r="R11" s="338"/>
      <c r="S11" s="338"/>
    </row>
    <row r="12" spans="1:19" ht="12.75">
      <c r="A12" s="426"/>
      <c r="B12" s="335">
        <v>2009</v>
      </c>
      <c r="C12" s="339">
        <v>21185762</v>
      </c>
      <c r="D12" s="339">
        <v>6513464</v>
      </c>
      <c r="E12" s="339">
        <v>11592702</v>
      </c>
      <c r="F12" s="341">
        <v>1246632</v>
      </c>
      <c r="G12" s="340">
        <f>C12+D12+E12+F12</f>
        <v>40538560</v>
      </c>
      <c r="H12" s="339">
        <v>1002430</v>
      </c>
      <c r="I12" s="339">
        <v>18109</v>
      </c>
      <c r="J12" s="339">
        <v>0</v>
      </c>
      <c r="K12" s="340">
        <f>H12+I12+J12</f>
        <v>1020539</v>
      </c>
      <c r="L12" s="339">
        <v>25749</v>
      </c>
      <c r="M12" s="339">
        <v>18000</v>
      </c>
      <c r="N12" s="340">
        <f>L12+M12</f>
        <v>43749</v>
      </c>
      <c r="O12" s="340">
        <f>G12+K12+N12</f>
        <v>41602848</v>
      </c>
      <c r="P12" s="338"/>
      <c r="Q12" s="338"/>
      <c r="R12" s="338"/>
      <c r="S12" s="338"/>
    </row>
    <row r="13" spans="1:19" ht="12.75">
      <c r="A13" s="426"/>
      <c r="B13" s="335">
        <v>2010</v>
      </c>
      <c r="C13" s="339">
        <v>19429057</v>
      </c>
      <c r="D13" s="339">
        <v>5112426</v>
      </c>
      <c r="E13" s="339">
        <v>12974904</v>
      </c>
      <c r="F13" s="341">
        <v>2083039</v>
      </c>
      <c r="G13" s="340">
        <f>C13+D13+E13+F13</f>
        <v>39599426</v>
      </c>
      <c r="H13" s="339">
        <v>1541775</v>
      </c>
      <c r="I13" s="339">
        <v>43689</v>
      </c>
      <c r="J13" s="339">
        <v>42625</v>
      </c>
      <c r="K13" s="340">
        <f>H13+I13+J13</f>
        <v>1628089</v>
      </c>
      <c r="L13" s="339">
        <v>0</v>
      </c>
      <c r="M13" s="339">
        <v>23000</v>
      </c>
      <c r="N13" s="340">
        <f>L13+M13</f>
        <v>23000</v>
      </c>
      <c r="O13" s="340">
        <f>G13+K13+N13</f>
        <v>41250515</v>
      </c>
      <c r="P13" s="338"/>
      <c r="Q13" s="338"/>
      <c r="R13" s="338"/>
      <c r="S13" s="338"/>
    </row>
    <row r="14" spans="1:19" ht="25.5">
      <c r="A14" s="426"/>
      <c r="B14" s="332" t="s">
        <v>968</v>
      </c>
      <c r="C14" s="342">
        <f>ROUND(C13/C10,2)</f>
        <v>0.82</v>
      </c>
      <c r="D14" s="342">
        <f aca="true" t="shared" si="0" ref="D14:O14">ROUND(D13/D10,2)</f>
        <v>0.79</v>
      </c>
      <c r="E14" s="342">
        <f t="shared" si="0"/>
        <v>1.06</v>
      </c>
      <c r="F14" s="342">
        <f t="shared" si="0"/>
        <v>0.93</v>
      </c>
      <c r="G14" s="343">
        <f t="shared" si="0"/>
        <v>0.89</v>
      </c>
      <c r="H14" s="342">
        <f t="shared" si="0"/>
        <v>1.02</v>
      </c>
      <c r="I14" s="342">
        <f t="shared" si="0"/>
        <v>0.39</v>
      </c>
      <c r="J14" s="342">
        <f t="shared" si="0"/>
        <v>1.12</v>
      </c>
      <c r="K14" s="343">
        <f t="shared" si="0"/>
        <v>0.98</v>
      </c>
      <c r="L14" s="342">
        <f t="shared" si="0"/>
        <v>0</v>
      </c>
      <c r="M14" s="342">
        <f t="shared" si="0"/>
        <v>1.12</v>
      </c>
      <c r="N14" s="342">
        <f t="shared" si="0"/>
        <v>0.03</v>
      </c>
      <c r="O14" s="343">
        <f t="shared" si="0"/>
        <v>0.88</v>
      </c>
      <c r="P14" s="338"/>
      <c r="Q14" s="338"/>
      <c r="R14" s="338"/>
      <c r="S14" s="338"/>
    </row>
    <row r="15" spans="1:19" ht="25.5">
      <c r="A15" s="426"/>
      <c r="B15" s="332" t="s">
        <v>969</v>
      </c>
      <c r="C15" s="342">
        <f>ROUND(C13/C12,2)</f>
        <v>0.92</v>
      </c>
      <c r="D15" s="342">
        <f aca="true" t="shared" si="1" ref="D15:O15">ROUND(D13/D12,2)</f>
        <v>0.78</v>
      </c>
      <c r="E15" s="342">
        <f t="shared" si="1"/>
        <v>1.12</v>
      </c>
      <c r="F15" s="342">
        <f t="shared" si="1"/>
        <v>1.67</v>
      </c>
      <c r="G15" s="343">
        <f t="shared" si="1"/>
        <v>0.98</v>
      </c>
      <c r="H15" s="342">
        <f t="shared" si="1"/>
        <v>1.54</v>
      </c>
      <c r="I15" s="342">
        <f t="shared" si="1"/>
        <v>2.41</v>
      </c>
      <c r="J15" s="342">
        <v>0</v>
      </c>
      <c r="K15" s="343">
        <f t="shared" si="1"/>
        <v>1.6</v>
      </c>
      <c r="L15" s="342">
        <f t="shared" si="1"/>
        <v>0</v>
      </c>
      <c r="M15" s="342">
        <f t="shared" si="1"/>
        <v>1.28</v>
      </c>
      <c r="N15" s="342">
        <f t="shared" si="1"/>
        <v>0.53</v>
      </c>
      <c r="O15" s="343">
        <f t="shared" si="1"/>
        <v>0.99</v>
      </c>
      <c r="P15" s="338"/>
      <c r="Q15" s="338"/>
      <c r="R15" s="338"/>
      <c r="S15" s="338"/>
    </row>
    <row r="16" spans="1:19" ht="12.75">
      <c r="A16" s="426" t="s">
        <v>21</v>
      </c>
      <c r="B16" s="335">
        <v>2007</v>
      </c>
      <c r="C16" s="339">
        <v>22403581</v>
      </c>
      <c r="D16" s="339">
        <v>6237332</v>
      </c>
      <c r="E16" s="339">
        <v>11575725</v>
      </c>
      <c r="F16" s="339">
        <v>2134942</v>
      </c>
      <c r="G16" s="340">
        <f>C16+D16+E16+F16</f>
        <v>42351580</v>
      </c>
      <c r="H16" s="339">
        <v>1365268</v>
      </c>
      <c r="I16" s="339">
        <v>112850</v>
      </c>
      <c r="J16" s="339">
        <v>18048</v>
      </c>
      <c r="K16" s="340">
        <f>H16+I16+J16</f>
        <v>1496166</v>
      </c>
      <c r="L16" s="339">
        <v>885</v>
      </c>
      <c r="M16" s="339">
        <v>21350</v>
      </c>
      <c r="N16" s="340">
        <f>L16+M16</f>
        <v>22235</v>
      </c>
      <c r="O16" s="340">
        <f>G16+K16+N16</f>
        <v>43869981</v>
      </c>
      <c r="P16" s="338"/>
      <c r="Q16" s="338"/>
      <c r="R16" s="338"/>
      <c r="S16" s="338"/>
    </row>
    <row r="17" spans="1:19" ht="12.75">
      <c r="A17" s="426"/>
      <c r="B17" s="335">
        <v>2008</v>
      </c>
      <c r="C17" s="339">
        <v>23385497</v>
      </c>
      <c r="D17" s="339">
        <v>6889661</v>
      </c>
      <c r="E17" s="339">
        <v>11770218</v>
      </c>
      <c r="F17" s="341">
        <v>531434</v>
      </c>
      <c r="G17" s="340">
        <f>C17+D17+E17+F17</f>
        <v>42576810</v>
      </c>
      <c r="H17" s="339">
        <v>675473</v>
      </c>
      <c r="I17" s="339">
        <v>49897</v>
      </c>
      <c r="J17" s="339">
        <v>11832</v>
      </c>
      <c r="K17" s="340">
        <f>H17+I17+J17</f>
        <v>737202</v>
      </c>
      <c r="L17" s="339">
        <v>43032</v>
      </c>
      <c r="M17" s="339">
        <v>22120</v>
      </c>
      <c r="N17" s="340">
        <f>L17+M17</f>
        <v>65152</v>
      </c>
      <c r="O17" s="340">
        <f>G17+K17+N17</f>
        <v>43379164</v>
      </c>
      <c r="P17" s="338"/>
      <c r="Q17" s="338"/>
      <c r="R17" s="338"/>
      <c r="S17" s="338"/>
    </row>
    <row r="18" spans="1:19" ht="12.75">
      <c r="A18" s="426"/>
      <c r="B18" s="335">
        <v>2009</v>
      </c>
      <c r="C18" s="339">
        <v>20782465</v>
      </c>
      <c r="D18" s="339">
        <v>5761337</v>
      </c>
      <c r="E18" s="339">
        <v>11340738</v>
      </c>
      <c r="F18" s="341">
        <v>1110438</v>
      </c>
      <c r="G18" s="340">
        <f>C18+D18+E18+F18</f>
        <v>38994978</v>
      </c>
      <c r="H18" s="339">
        <v>940876</v>
      </c>
      <c r="I18" s="339">
        <v>10993</v>
      </c>
      <c r="J18" s="339">
        <v>0</v>
      </c>
      <c r="K18" s="340">
        <f>H18+I18+J18</f>
        <v>951869</v>
      </c>
      <c r="L18" s="339">
        <v>25749</v>
      </c>
      <c r="M18" s="339">
        <v>18201</v>
      </c>
      <c r="N18" s="340">
        <f>L18+M18</f>
        <v>43950</v>
      </c>
      <c r="O18" s="340">
        <f>G18+K18+N18</f>
        <v>39990797</v>
      </c>
      <c r="P18" s="338"/>
      <c r="Q18" s="338"/>
      <c r="R18" s="338"/>
      <c r="S18" s="338"/>
    </row>
    <row r="19" spans="1:19" ht="12.75">
      <c r="A19" s="426"/>
      <c r="B19" s="335">
        <v>2010</v>
      </c>
      <c r="C19" s="339">
        <v>19143543</v>
      </c>
      <c r="D19" s="339">
        <v>5080399</v>
      </c>
      <c r="E19" s="339">
        <v>11677714</v>
      </c>
      <c r="F19" s="341">
        <v>1898563</v>
      </c>
      <c r="G19" s="340">
        <f>C19+D19+E19+F19</f>
        <v>37800219</v>
      </c>
      <c r="H19" s="339">
        <v>1500330</v>
      </c>
      <c r="I19" s="339">
        <v>43973</v>
      </c>
      <c r="J19" s="339">
        <v>0</v>
      </c>
      <c r="K19" s="340">
        <f>H19+I19+J19</f>
        <v>1544303</v>
      </c>
      <c r="L19" s="339">
        <v>0</v>
      </c>
      <c r="M19" s="339">
        <v>22200</v>
      </c>
      <c r="N19" s="340">
        <f>L19+M19</f>
        <v>22200</v>
      </c>
      <c r="O19" s="340">
        <f>G19+K19+N19</f>
        <v>39366722</v>
      </c>
      <c r="P19" s="338"/>
      <c r="Q19" s="338"/>
      <c r="R19" s="338"/>
      <c r="S19" s="338"/>
    </row>
    <row r="20" spans="1:19" ht="25.5">
      <c r="A20" s="426"/>
      <c r="B20" s="332" t="s">
        <v>968</v>
      </c>
      <c r="C20" s="342">
        <f aca="true" t="shared" si="2" ref="C20:O20">ROUND(C19/C16,2)</f>
        <v>0.85</v>
      </c>
      <c r="D20" s="342">
        <f t="shared" si="2"/>
        <v>0.81</v>
      </c>
      <c r="E20" s="342">
        <f t="shared" si="2"/>
        <v>1.01</v>
      </c>
      <c r="F20" s="342">
        <f t="shared" si="2"/>
        <v>0.89</v>
      </c>
      <c r="G20" s="343">
        <f t="shared" si="2"/>
        <v>0.89</v>
      </c>
      <c r="H20" s="342">
        <f t="shared" si="2"/>
        <v>1.1</v>
      </c>
      <c r="I20" s="342">
        <f t="shared" si="2"/>
        <v>0.39</v>
      </c>
      <c r="J20" s="342">
        <f t="shared" si="2"/>
        <v>0</v>
      </c>
      <c r="K20" s="343">
        <f t="shared" si="2"/>
        <v>1.03</v>
      </c>
      <c r="L20" s="342">
        <f t="shared" si="2"/>
        <v>0</v>
      </c>
      <c r="M20" s="342">
        <f t="shared" si="2"/>
        <v>1.04</v>
      </c>
      <c r="N20" s="342">
        <f t="shared" si="2"/>
        <v>1</v>
      </c>
      <c r="O20" s="343">
        <f t="shared" si="2"/>
        <v>0.9</v>
      </c>
      <c r="P20" s="338"/>
      <c r="Q20" s="338"/>
      <c r="R20" s="338"/>
      <c r="S20" s="338"/>
    </row>
    <row r="21" spans="1:19" ht="25.5">
      <c r="A21" s="426"/>
      <c r="B21" s="332" t="s">
        <v>969</v>
      </c>
      <c r="C21" s="342">
        <f>ROUND(C19/C18,2)</f>
        <v>0.92</v>
      </c>
      <c r="D21" s="342">
        <f aca="true" t="shared" si="3" ref="D21:I21">ROUND(D19/D18,2)</f>
        <v>0.88</v>
      </c>
      <c r="E21" s="342">
        <f t="shared" si="3"/>
        <v>1.03</v>
      </c>
      <c r="F21" s="342">
        <f t="shared" si="3"/>
        <v>1.71</v>
      </c>
      <c r="G21" s="343">
        <f t="shared" si="3"/>
        <v>0.97</v>
      </c>
      <c r="H21" s="342">
        <f t="shared" si="3"/>
        <v>1.59</v>
      </c>
      <c r="I21" s="342">
        <f t="shared" si="3"/>
        <v>4</v>
      </c>
      <c r="J21" s="342">
        <v>0</v>
      </c>
      <c r="K21" s="343">
        <f>ROUND(K19/K18,2)</f>
        <v>1.62</v>
      </c>
      <c r="L21" s="342">
        <f>ROUND(L19/L18,2)</f>
        <v>0</v>
      </c>
      <c r="M21" s="342">
        <f>ROUND(M19/M18,2)</f>
        <v>1.22</v>
      </c>
      <c r="N21" s="342">
        <f>ROUND(N19/N18,2)</f>
        <v>0.51</v>
      </c>
      <c r="O21" s="343">
        <f>ROUND(O19/O18,2)</f>
        <v>0.98</v>
      </c>
      <c r="P21" s="338"/>
      <c r="Q21" s="338"/>
      <c r="R21" s="338"/>
      <c r="S21" s="338"/>
    </row>
  </sheetData>
  <sheetProtection password="EE36" sheet="1" formatCells="0" formatColumns="0" formatRows="0" insertColumns="0" insertRows="0" insertHyperlinks="0" deleteColumns="0" deleteRows="0" sort="0" autoFilter="0" pivotTables="0"/>
  <mergeCells count="4">
    <mergeCell ref="B1:C1"/>
    <mergeCell ref="A4:A9"/>
    <mergeCell ref="A10:A15"/>
    <mergeCell ref="A16:A21"/>
  </mergeCells>
  <printOptions/>
  <pageMargins left="0.1968503937007874" right="0" top="0.5905511811023623" bottom="0" header="0" footer="0"/>
  <pageSetup fitToHeight="1" fitToWidth="1" horizontalDpi="600" verticalDpi="600" orientation="landscape" paperSize="9" scale="93" r:id="rId1"/>
  <headerFooter alignWithMargins="0">
    <oddHeader>&amp;LMgSzH&amp;CKiadások összehasonlítása
2007-2010.&amp;R2/a. sz. melléklet</oddHeader>
  </headerFooter>
</worksheet>
</file>

<file path=xl/worksheets/sheet3.xml><?xml version="1.0" encoding="utf-8"?>
<worksheet xmlns="http://schemas.openxmlformats.org/spreadsheetml/2006/main" xmlns:r="http://schemas.openxmlformats.org/officeDocument/2006/relationships">
  <dimension ref="A1:M21"/>
  <sheetViews>
    <sheetView view="pageBreakPreview" zoomScaleSheetLayoutView="100" zoomScalePageLayoutView="0" workbookViewId="0" topLeftCell="A1">
      <pane xSplit="2" ySplit="3" topLeftCell="C4" activePane="bottomRight" state="frozen"/>
      <selection pane="topLeft" activeCell="F25" sqref="F25"/>
      <selection pane="topRight" activeCell="F25" sqref="F25"/>
      <selection pane="bottomLeft" activeCell="F25" sqref="F25"/>
      <selection pane="bottomRight" activeCell="B13" sqref="B13"/>
    </sheetView>
  </sheetViews>
  <sheetFormatPr defaultColWidth="9.140625" defaultRowHeight="12.75"/>
  <cols>
    <col min="1" max="1" width="9.7109375" style="345" customWidth="1"/>
    <col min="2" max="2" width="10.8515625" style="345" bestFit="1" customWidth="1"/>
    <col min="3" max="3" width="11.140625" style="345" customWidth="1"/>
    <col min="4" max="4" width="9.421875" style="345" customWidth="1"/>
    <col min="5" max="5" width="9.8515625" style="345" bestFit="1" customWidth="1"/>
    <col min="6" max="6" width="11.57421875" style="345" customWidth="1"/>
    <col min="7" max="7" width="10.8515625" style="345" customWidth="1"/>
    <col min="8" max="8" width="11.140625" style="345" customWidth="1"/>
    <col min="9" max="9" width="15.7109375" style="345" customWidth="1"/>
    <col min="10" max="10" width="12.140625" style="345" bestFit="1" customWidth="1"/>
    <col min="11" max="11" width="11.57421875" style="345" customWidth="1"/>
    <col min="12" max="12" width="11.421875" style="345" customWidth="1"/>
    <col min="13" max="13" width="11.8515625" style="345" bestFit="1" customWidth="1"/>
    <col min="14" max="16384" width="9.140625" style="345" customWidth="1"/>
  </cols>
  <sheetData>
    <row r="1" spans="1:13" ht="15">
      <c r="A1" s="344"/>
      <c r="B1" s="427"/>
      <c r="C1" s="427"/>
      <c r="D1" s="427"/>
      <c r="E1" s="427"/>
      <c r="F1" s="427"/>
      <c r="G1" s="427"/>
      <c r="H1" s="427"/>
      <c r="I1" s="427"/>
      <c r="J1" s="344"/>
      <c r="K1" s="344"/>
      <c r="L1" s="344"/>
      <c r="M1" s="344" t="s">
        <v>962</v>
      </c>
    </row>
    <row r="2" spans="1:13" ht="15.75" customHeight="1">
      <c r="A2" s="344"/>
      <c r="B2" s="344"/>
      <c r="C2" s="344"/>
      <c r="D2" s="344"/>
      <c r="E2" s="344"/>
      <c r="F2" s="344"/>
      <c r="G2" s="344"/>
      <c r="H2" s="344"/>
      <c r="I2" s="344"/>
      <c r="J2" s="344"/>
      <c r="K2" s="344"/>
      <c r="L2" s="344"/>
      <c r="M2" s="344"/>
    </row>
    <row r="3" spans="1:13" ht="64.5" customHeight="1">
      <c r="A3" s="346"/>
      <c r="B3" s="346"/>
      <c r="C3" s="347" t="s">
        <v>970</v>
      </c>
      <c r="D3" s="347" t="s">
        <v>971</v>
      </c>
      <c r="E3" s="348" t="s">
        <v>1</v>
      </c>
      <c r="F3" s="347" t="s">
        <v>972</v>
      </c>
      <c r="G3" s="347" t="s">
        <v>973</v>
      </c>
      <c r="H3" s="348" t="s">
        <v>1</v>
      </c>
      <c r="I3" s="347" t="s">
        <v>974</v>
      </c>
      <c r="J3" s="347" t="s">
        <v>975</v>
      </c>
      <c r="K3" s="347" t="s">
        <v>573</v>
      </c>
      <c r="L3" s="347" t="s">
        <v>976</v>
      </c>
      <c r="M3" s="349" t="s">
        <v>412</v>
      </c>
    </row>
    <row r="4" spans="1:13" ht="15" customHeight="1">
      <c r="A4" s="428" t="s">
        <v>967</v>
      </c>
      <c r="B4" s="350">
        <v>2007</v>
      </c>
      <c r="C4" s="351">
        <v>14211000</v>
      </c>
      <c r="D4" s="351">
        <v>300000</v>
      </c>
      <c r="E4" s="352">
        <f>C4+D4</f>
        <v>14511000</v>
      </c>
      <c r="F4" s="351">
        <v>0</v>
      </c>
      <c r="G4" s="351">
        <v>0</v>
      </c>
      <c r="H4" s="352">
        <f>F4+G4</f>
        <v>0</v>
      </c>
      <c r="I4" s="351">
        <v>0</v>
      </c>
      <c r="J4" s="351">
        <v>0</v>
      </c>
      <c r="K4" s="351">
        <v>14630400</v>
      </c>
      <c r="L4" s="351">
        <v>0</v>
      </c>
      <c r="M4" s="352">
        <f>E4+H4+I4+J4+K4+L4</f>
        <v>29141400</v>
      </c>
    </row>
    <row r="5" spans="1:13" ht="15" customHeight="1">
      <c r="A5" s="429"/>
      <c r="B5" s="350">
        <v>2008</v>
      </c>
      <c r="C5" s="351">
        <v>13562000</v>
      </c>
      <c r="D5" s="351">
        <v>490000</v>
      </c>
      <c r="E5" s="352">
        <f>C5+D5</f>
        <v>14052000</v>
      </c>
      <c r="F5" s="351">
        <v>2254400</v>
      </c>
      <c r="G5" s="351">
        <v>10000</v>
      </c>
      <c r="H5" s="352">
        <f>F5+G5</f>
        <v>2264400</v>
      </c>
      <c r="I5" s="351">
        <v>0</v>
      </c>
      <c r="J5" s="351">
        <v>0</v>
      </c>
      <c r="K5" s="351">
        <v>16416600</v>
      </c>
      <c r="L5" s="351">
        <v>0</v>
      </c>
      <c r="M5" s="352">
        <f>E5+H5+I5+J5+K5+L5</f>
        <v>32733000</v>
      </c>
    </row>
    <row r="6" spans="1:13" ht="15">
      <c r="A6" s="429"/>
      <c r="B6" s="350">
        <v>2009</v>
      </c>
      <c r="C6" s="351">
        <v>13758000</v>
      </c>
      <c r="D6" s="351">
        <v>0</v>
      </c>
      <c r="E6" s="352">
        <f>C6+D6</f>
        <v>13758000</v>
      </c>
      <c r="F6" s="351">
        <v>0</v>
      </c>
      <c r="G6" s="351">
        <v>0</v>
      </c>
      <c r="H6" s="352">
        <f>F6+G6</f>
        <v>0</v>
      </c>
      <c r="I6" s="351">
        <v>0</v>
      </c>
      <c r="J6" s="351">
        <v>0</v>
      </c>
      <c r="K6" s="351">
        <v>16193100</v>
      </c>
      <c r="L6" s="351">
        <v>0</v>
      </c>
      <c r="M6" s="352">
        <f>E6+H6+I6+J6+K6+L6</f>
        <v>29951100</v>
      </c>
    </row>
    <row r="7" spans="1:13" ht="15">
      <c r="A7" s="429"/>
      <c r="B7" s="335">
        <v>2010</v>
      </c>
      <c r="C7" s="351">
        <v>13558000</v>
      </c>
      <c r="D7" s="351">
        <v>0</v>
      </c>
      <c r="E7" s="352">
        <f>C7+D7</f>
        <v>13558000</v>
      </c>
      <c r="F7" s="351">
        <v>0</v>
      </c>
      <c r="G7" s="351">
        <v>0</v>
      </c>
      <c r="H7" s="352">
        <f>F7+G7</f>
        <v>0</v>
      </c>
      <c r="I7" s="351">
        <v>0</v>
      </c>
      <c r="J7" s="351">
        <v>0</v>
      </c>
      <c r="K7" s="351">
        <v>15324500</v>
      </c>
      <c r="L7" s="351">
        <v>0</v>
      </c>
      <c r="M7" s="352">
        <f>E7+H7+I7+J7+K7+L7</f>
        <v>28882500</v>
      </c>
    </row>
    <row r="8" spans="1:13" ht="25.5">
      <c r="A8" s="429"/>
      <c r="B8" s="332" t="s">
        <v>968</v>
      </c>
      <c r="C8" s="353">
        <f>ROUND(C7/C4,2)</f>
        <v>0.95</v>
      </c>
      <c r="D8" s="353">
        <f>ROUND(D7/D4,2)</f>
        <v>0</v>
      </c>
      <c r="E8" s="354">
        <f>ROUND(E7/E4,2)</f>
        <v>0.93</v>
      </c>
      <c r="F8" s="353">
        <v>0</v>
      </c>
      <c r="G8" s="353">
        <v>0</v>
      </c>
      <c r="H8" s="354">
        <v>0</v>
      </c>
      <c r="I8" s="353">
        <v>0</v>
      </c>
      <c r="J8" s="353">
        <v>0</v>
      </c>
      <c r="K8" s="353">
        <f>ROUND(K7/K4,2)</f>
        <v>1.05</v>
      </c>
      <c r="L8" s="353">
        <v>0</v>
      </c>
      <c r="M8" s="354">
        <f>ROUND(M7/M4,2)</f>
        <v>0.99</v>
      </c>
    </row>
    <row r="9" spans="1:13" ht="30" customHeight="1">
      <c r="A9" s="429"/>
      <c r="B9" s="332" t="s">
        <v>969</v>
      </c>
      <c r="C9" s="353">
        <f>ROUND(C7/C6,2)</f>
        <v>0.99</v>
      </c>
      <c r="D9" s="353">
        <v>0</v>
      </c>
      <c r="E9" s="354">
        <f>ROUND(E7/E6,2)</f>
        <v>0.99</v>
      </c>
      <c r="F9" s="353">
        <f>ROUND(F8/F5,2)</f>
        <v>0</v>
      </c>
      <c r="G9" s="353">
        <f>ROUND(G8/G5,2)</f>
        <v>0</v>
      </c>
      <c r="H9" s="354">
        <v>0</v>
      </c>
      <c r="I9" s="353">
        <v>0</v>
      </c>
      <c r="J9" s="353">
        <v>0</v>
      </c>
      <c r="K9" s="353">
        <f>ROUND(K7/K6,2)</f>
        <v>0.95</v>
      </c>
      <c r="L9" s="353">
        <v>0</v>
      </c>
      <c r="M9" s="354">
        <f>ROUND(M7/M6,2)</f>
        <v>0.96</v>
      </c>
    </row>
    <row r="10" spans="1:13" ht="15" customHeight="1">
      <c r="A10" s="428" t="s">
        <v>37</v>
      </c>
      <c r="B10" s="350">
        <v>2007</v>
      </c>
      <c r="C10" s="351">
        <v>16883790</v>
      </c>
      <c r="D10" s="351">
        <v>4357076</v>
      </c>
      <c r="E10" s="352">
        <f>C10+D10</f>
        <v>21240866</v>
      </c>
      <c r="F10" s="351">
        <v>57262</v>
      </c>
      <c r="G10" s="351">
        <v>618845</v>
      </c>
      <c r="H10" s="352">
        <f>F10+G10</f>
        <v>676107</v>
      </c>
      <c r="I10" s="351">
        <v>667937</v>
      </c>
      <c r="J10" s="351">
        <v>20600</v>
      </c>
      <c r="K10" s="351">
        <v>23095462</v>
      </c>
      <c r="L10" s="351">
        <v>1355252</v>
      </c>
      <c r="M10" s="352">
        <f>E10+H10+I10+J10+K10+L10</f>
        <v>47056224</v>
      </c>
    </row>
    <row r="11" spans="1:13" ht="15" customHeight="1">
      <c r="A11" s="429"/>
      <c r="B11" s="350">
        <v>2008</v>
      </c>
      <c r="C11" s="351">
        <v>13759961</v>
      </c>
      <c r="D11" s="351">
        <v>7809452</v>
      </c>
      <c r="E11" s="352">
        <f>C11+D11</f>
        <v>21569413</v>
      </c>
      <c r="F11" s="351">
        <v>2254400</v>
      </c>
      <c r="G11" s="351">
        <v>156638</v>
      </c>
      <c r="H11" s="352">
        <f>F11+G11</f>
        <v>2411038</v>
      </c>
      <c r="I11" s="351">
        <v>581749</v>
      </c>
      <c r="J11" s="351">
        <v>0</v>
      </c>
      <c r="K11" s="351">
        <v>20999523</v>
      </c>
      <c r="L11" s="351">
        <v>225984</v>
      </c>
      <c r="M11" s="352">
        <f>E11+H11+I11+J11+K11+L11</f>
        <v>45787707</v>
      </c>
    </row>
    <row r="12" spans="1:13" ht="15">
      <c r="A12" s="429"/>
      <c r="B12" s="350">
        <v>2009</v>
      </c>
      <c r="C12" s="351">
        <v>13758000</v>
      </c>
      <c r="D12" s="351">
        <v>8993747</v>
      </c>
      <c r="E12" s="352">
        <f>C12+D12</f>
        <v>22751747</v>
      </c>
      <c r="F12" s="351">
        <v>2214</v>
      </c>
      <c r="G12" s="351">
        <v>1054147</v>
      </c>
      <c r="H12" s="352">
        <f>F12+G12</f>
        <v>1056361</v>
      </c>
      <c r="I12" s="351">
        <v>643966</v>
      </c>
      <c r="J12" s="351">
        <v>18000</v>
      </c>
      <c r="K12" s="351">
        <v>16955295</v>
      </c>
      <c r="L12" s="351">
        <v>177479</v>
      </c>
      <c r="M12" s="352">
        <f>E12+H12+I12+J12+K12+L12</f>
        <v>41602848</v>
      </c>
    </row>
    <row r="13" spans="1:13" ht="15">
      <c r="A13" s="429"/>
      <c r="B13" s="335">
        <v>2010</v>
      </c>
      <c r="C13" s="351">
        <v>14728315</v>
      </c>
      <c r="D13" s="351">
        <f>8155402-481713</f>
        <v>7673689</v>
      </c>
      <c r="E13" s="352">
        <f>C13+D13</f>
        <v>22402004</v>
      </c>
      <c r="F13" s="351">
        <v>530594</v>
      </c>
      <c r="G13" s="351">
        <v>1151567</v>
      </c>
      <c r="H13" s="352">
        <f>F13+G13</f>
        <v>1682161</v>
      </c>
      <c r="I13" s="351">
        <v>481713</v>
      </c>
      <c r="J13" s="351">
        <v>23000</v>
      </c>
      <c r="K13" s="351">
        <v>16468160</v>
      </c>
      <c r="L13" s="351">
        <v>193477</v>
      </c>
      <c r="M13" s="352">
        <f>E13+H13+I13+J13+K13+L13</f>
        <v>41250515</v>
      </c>
    </row>
    <row r="14" spans="1:13" ht="25.5">
      <c r="A14" s="429"/>
      <c r="B14" s="332" t="s">
        <v>968</v>
      </c>
      <c r="C14" s="353">
        <f>ROUND(C13/C10,2)</f>
        <v>0.87</v>
      </c>
      <c r="D14" s="353">
        <f aca="true" t="shared" si="0" ref="D14:L14">ROUND(D13/D10,2)</f>
        <v>1.76</v>
      </c>
      <c r="E14" s="354">
        <f t="shared" si="0"/>
        <v>1.05</v>
      </c>
      <c r="F14" s="353">
        <f t="shared" si="0"/>
        <v>9.27</v>
      </c>
      <c r="G14" s="353">
        <f t="shared" si="0"/>
        <v>1.86</v>
      </c>
      <c r="H14" s="354">
        <f>ROUND(H13/H10,2)</f>
        <v>2.49</v>
      </c>
      <c r="I14" s="353">
        <f t="shared" si="0"/>
        <v>0.72</v>
      </c>
      <c r="J14" s="353">
        <f t="shared" si="0"/>
        <v>1.12</v>
      </c>
      <c r="K14" s="353">
        <f t="shared" si="0"/>
        <v>0.71</v>
      </c>
      <c r="L14" s="353">
        <f t="shared" si="0"/>
        <v>0.14</v>
      </c>
      <c r="M14" s="354">
        <f>ROUND(M13/M10,2)</f>
        <v>0.88</v>
      </c>
    </row>
    <row r="15" spans="1:13" ht="30" customHeight="1">
      <c r="A15" s="429"/>
      <c r="B15" s="332" t="s">
        <v>969</v>
      </c>
      <c r="C15" s="353">
        <f>ROUND(C13/C12,2)</f>
        <v>1.07</v>
      </c>
      <c r="D15" s="353">
        <f aca="true" t="shared" si="1" ref="D15:L15">ROUND(D13/D12,2)</f>
        <v>0.85</v>
      </c>
      <c r="E15" s="354">
        <f t="shared" si="1"/>
        <v>0.98</v>
      </c>
      <c r="F15" s="353">
        <f t="shared" si="1"/>
        <v>239.65</v>
      </c>
      <c r="G15" s="353">
        <f t="shared" si="1"/>
        <v>1.09</v>
      </c>
      <c r="H15" s="354">
        <f>ROUND(H13/H12,2)</f>
        <v>1.59</v>
      </c>
      <c r="I15" s="353">
        <f t="shared" si="1"/>
        <v>0.75</v>
      </c>
      <c r="J15" s="353">
        <f t="shared" si="1"/>
        <v>1.28</v>
      </c>
      <c r="K15" s="353">
        <f t="shared" si="1"/>
        <v>0.97</v>
      </c>
      <c r="L15" s="353">
        <f t="shared" si="1"/>
        <v>1.09</v>
      </c>
      <c r="M15" s="354">
        <f>ROUND(M13/M12,2)</f>
        <v>0.99</v>
      </c>
    </row>
    <row r="16" spans="1:13" ht="15">
      <c r="A16" s="428" t="s">
        <v>21</v>
      </c>
      <c r="B16" s="350">
        <v>2007</v>
      </c>
      <c r="C16" s="351">
        <v>14537474</v>
      </c>
      <c r="D16" s="351">
        <v>4359871</v>
      </c>
      <c r="E16" s="352">
        <f>C16+D16</f>
        <v>18897345</v>
      </c>
      <c r="F16" s="351">
        <v>74158</v>
      </c>
      <c r="G16" s="351">
        <v>661587</v>
      </c>
      <c r="H16" s="352">
        <f>F16+G16</f>
        <v>735745</v>
      </c>
      <c r="I16" s="351">
        <v>1345837</v>
      </c>
      <c r="J16" s="351">
        <v>21576</v>
      </c>
      <c r="K16" s="351">
        <v>23095462</v>
      </c>
      <c r="L16" s="351">
        <v>0</v>
      </c>
      <c r="M16" s="352">
        <f>E16+H16+I16+J16+K16+L16</f>
        <v>44095965</v>
      </c>
    </row>
    <row r="17" spans="1:13" ht="15">
      <c r="A17" s="429"/>
      <c r="B17" s="350">
        <v>2008</v>
      </c>
      <c r="C17" s="351">
        <v>14166356</v>
      </c>
      <c r="D17" s="351">
        <v>7485007</v>
      </c>
      <c r="E17" s="352">
        <f>C17+D17</f>
        <v>21651363</v>
      </c>
      <c r="F17" s="351">
        <v>26452</v>
      </c>
      <c r="G17" s="351">
        <v>155995</v>
      </c>
      <c r="H17" s="352">
        <f>F17+G17</f>
        <v>182447</v>
      </c>
      <c r="I17" s="351">
        <v>474879</v>
      </c>
      <c r="J17" s="351">
        <v>22447</v>
      </c>
      <c r="K17" s="351">
        <v>20999523</v>
      </c>
      <c r="L17" s="351">
        <v>225984</v>
      </c>
      <c r="M17" s="352">
        <f>E17+H17+I17+J17+K17+L17</f>
        <v>43556643</v>
      </c>
    </row>
    <row r="18" spans="1:13" ht="15">
      <c r="A18" s="429"/>
      <c r="B18" s="350">
        <v>2009</v>
      </c>
      <c r="C18" s="351">
        <v>13338096</v>
      </c>
      <c r="D18" s="351">
        <v>8349144</v>
      </c>
      <c r="E18" s="352">
        <f>C18+D18</f>
        <v>21687240</v>
      </c>
      <c r="F18" s="351">
        <v>5318</v>
      </c>
      <c r="G18" s="351">
        <v>696776</v>
      </c>
      <c r="H18" s="352">
        <f>F18+G18</f>
        <v>702094</v>
      </c>
      <c r="I18" s="351">
        <v>643966</v>
      </c>
      <c r="J18" s="351">
        <v>18200</v>
      </c>
      <c r="K18" s="351">
        <v>16955295</v>
      </c>
      <c r="L18" s="351">
        <v>177479</v>
      </c>
      <c r="M18" s="352">
        <f>E18+H18+I18+J18+K18+L18</f>
        <v>40184274</v>
      </c>
    </row>
    <row r="19" spans="1:13" ht="15">
      <c r="A19" s="429"/>
      <c r="B19" s="335">
        <v>2010</v>
      </c>
      <c r="C19" s="351">
        <v>15070739</v>
      </c>
      <c r="D19" s="351">
        <v>6479262</v>
      </c>
      <c r="E19" s="352">
        <f>C19+D19</f>
        <v>21550001</v>
      </c>
      <c r="F19" s="351">
        <v>529709</v>
      </c>
      <c r="G19" s="351">
        <v>1157370</v>
      </c>
      <c r="H19" s="352">
        <f>F19+G19</f>
        <v>1687079</v>
      </c>
      <c r="I19" s="351">
        <v>481712</v>
      </c>
      <c r="J19" s="351">
        <v>22200</v>
      </c>
      <c r="K19" s="351">
        <v>16468160</v>
      </c>
      <c r="L19" s="351">
        <v>188087</v>
      </c>
      <c r="M19" s="352">
        <f>E19+H19+I19+J19+K19+L19</f>
        <v>40397239</v>
      </c>
    </row>
    <row r="20" spans="1:13" ht="25.5">
      <c r="A20" s="429"/>
      <c r="B20" s="332" t="s">
        <v>968</v>
      </c>
      <c r="C20" s="353">
        <f aca="true" t="shared" si="2" ref="C20:K20">ROUND(C19/C16,2)</f>
        <v>1.04</v>
      </c>
      <c r="D20" s="353">
        <f t="shared" si="2"/>
        <v>1.49</v>
      </c>
      <c r="E20" s="354">
        <f t="shared" si="2"/>
        <v>1.14</v>
      </c>
      <c r="F20" s="353">
        <f t="shared" si="2"/>
        <v>7.14</v>
      </c>
      <c r="G20" s="353">
        <f t="shared" si="2"/>
        <v>1.75</v>
      </c>
      <c r="H20" s="354">
        <f t="shared" si="2"/>
        <v>2.29</v>
      </c>
      <c r="I20" s="353">
        <f t="shared" si="2"/>
        <v>0.36</v>
      </c>
      <c r="J20" s="353">
        <f t="shared" si="2"/>
        <v>1.03</v>
      </c>
      <c r="K20" s="353">
        <f t="shared" si="2"/>
        <v>0.71</v>
      </c>
      <c r="L20" s="353">
        <v>0</v>
      </c>
      <c r="M20" s="354">
        <f>ROUND(M19/M16,2)</f>
        <v>0.92</v>
      </c>
    </row>
    <row r="21" spans="1:13" ht="30" customHeight="1">
      <c r="A21" s="429"/>
      <c r="B21" s="332" t="s">
        <v>969</v>
      </c>
      <c r="C21" s="353">
        <f>ROUND(C19/C18,2)</f>
        <v>1.13</v>
      </c>
      <c r="D21" s="353">
        <f aca="true" t="shared" si="3" ref="D21:L21">ROUND(D19/D18,2)</f>
        <v>0.78</v>
      </c>
      <c r="E21" s="354">
        <f t="shared" si="3"/>
        <v>0.99</v>
      </c>
      <c r="F21" s="353">
        <f t="shared" si="3"/>
        <v>99.61</v>
      </c>
      <c r="G21" s="353">
        <f t="shared" si="3"/>
        <v>1.66</v>
      </c>
      <c r="H21" s="354">
        <f>ROUND(H19/H18,2)</f>
        <v>2.4</v>
      </c>
      <c r="I21" s="353">
        <f t="shared" si="3"/>
        <v>0.75</v>
      </c>
      <c r="J21" s="353">
        <f t="shared" si="3"/>
        <v>1.22</v>
      </c>
      <c r="K21" s="353">
        <f t="shared" si="3"/>
        <v>0.97</v>
      </c>
      <c r="L21" s="353">
        <f t="shared" si="3"/>
        <v>1.06</v>
      </c>
      <c r="M21" s="354">
        <f>ROUND(M19/M18,2)</f>
        <v>1.01</v>
      </c>
    </row>
  </sheetData>
  <sheetProtection password="EE36" sheet="1" formatCells="0" formatColumns="0" formatRows="0" insertColumns="0" insertRows="0" insertHyperlinks="0" deleteColumns="0" deleteRows="0" sort="0" autoFilter="0" pivotTables="0"/>
  <mergeCells count="4">
    <mergeCell ref="B1:I1"/>
    <mergeCell ref="A4:A9"/>
    <mergeCell ref="A10:A15"/>
    <mergeCell ref="A16:A21"/>
  </mergeCells>
  <printOptions horizontalCentered="1"/>
  <pageMargins left="0.3937007874015748" right="0.3937007874015748" top="0.7480314960629921" bottom="0.7480314960629921" header="0.31496062992125984" footer="0.31496062992125984"/>
  <pageSetup horizontalDpi="600" verticalDpi="600" orientation="landscape" paperSize="9" scale="80" r:id="rId1"/>
  <headerFooter alignWithMargins="0">
    <oddHeader>&amp;LMgSzH&amp;CBevételek összehasonlítása
2007-2010.&amp;R2/b. sz. melléklet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95"/>
  <sheetViews>
    <sheetView zoomScale="84" zoomScaleNormal="84" zoomScalePageLayoutView="0" workbookViewId="0" topLeftCell="B1">
      <pane xSplit="4" ySplit="2" topLeftCell="F69" activePane="bottomRight" state="frozen"/>
      <selection pane="topLeft" activeCell="F25" sqref="F25"/>
      <selection pane="topRight" activeCell="F25" sqref="F25"/>
      <selection pane="bottomLeft" activeCell="F25" sqref="F25"/>
      <selection pane="bottomRight" activeCell="F25" sqref="F25"/>
    </sheetView>
  </sheetViews>
  <sheetFormatPr defaultColWidth="9.140625" defaultRowHeight="12.75"/>
  <cols>
    <col min="1" max="1" width="0.13671875" style="327" customWidth="1"/>
    <col min="2" max="2" width="19.8515625" style="327" bestFit="1" customWidth="1"/>
    <col min="3" max="3" width="6.140625" style="376" bestFit="1" customWidth="1"/>
    <col min="4" max="4" width="23.7109375" style="377" customWidth="1"/>
    <col min="5" max="5" width="24.28125" style="327" bestFit="1" customWidth="1"/>
    <col min="6" max="8" width="8.7109375" style="327" customWidth="1"/>
    <col min="9" max="9" width="8.421875" style="327" customWidth="1"/>
    <col min="10" max="10" width="9.57421875" style="327" customWidth="1"/>
    <col min="11" max="12" width="8.7109375" style="327" customWidth="1"/>
    <col min="13" max="13" width="96.28125" style="378" customWidth="1"/>
    <col min="14" max="16384" width="9.140625" style="327" customWidth="1"/>
  </cols>
  <sheetData>
    <row r="1" spans="1:13" s="355" customFormat="1" ht="16.5" customHeight="1">
      <c r="A1" s="432" t="s">
        <v>548</v>
      </c>
      <c r="B1" s="434" t="s">
        <v>549</v>
      </c>
      <c r="C1" s="430" t="s">
        <v>550</v>
      </c>
      <c r="D1" s="430" t="s">
        <v>187</v>
      </c>
      <c r="E1" s="430"/>
      <c r="F1" s="430" t="s">
        <v>553</v>
      </c>
      <c r="G1" s="430" t="s">
        <v>554</v>
      </c>
      <c r="H1" s="430" t="s">
        <v>555</v>
      </c>
      <c r="I1" s="430" t="s">
        <v>977</v>
      </c>
      <c r="J1" s="430" t="s">
        <v>978</v>
      </c>
      <c r="K1" s="430" t="s">
        <v>562</v>
      </c>
      <c r="L1" s="430" t="s">
        <v>565</v>
      </c>
      <c r="M1" s="436" t="s">
        <v>979</v>
      </c>
    </row>
    <row r="2" spans="1:13" s="356" customFormat="1" ht="60" customHeight="1" thickBot="1">
      <c r="A2" s="433"/>
      <c r="B2" s="435"/>
      <c r="C2" s="431"/>
      <c r="D2" s="431"/>
      <c r="E2" s="431"/>
      <c r="F2" s="431"/>
      <c r="G2" s="431"/>
      <c r="H2" s="431"/>
      <c r="I2" s="431"/>
      <c r="J2" s="431"/>
      <c r="K2" s="431"/>
      <c r="L2" s="431"/>
      <c r="M2" s="437"/>
    </row>
    <row r="3" spans="1:13" s="312" customFormat="1" ht="12.75">
      <c r="A3" s="357"/>
      <c r="B3" s="438" t="s">
        <v>980</v>
      </c>
      <c r="C3" s="441" t="s">
        <v>584</v>
      </c>
      <c r="D3" s="444" t="s">
        <v>981</v>
      </c>
      <c r="E3" s="358" t="s">
        <v>982</v>
      </c>
      <c r="F3" s="358">
        <v>-17400</v>
      </c>
      <c r="G3" s="358">
        <v>-4800</v>
      </c>
      <c r="H3" s="358">
        <v>-7000</v>
      </c>
      <c r="I3" s="358"/>
      <c r="J3" s="358"/>
      <c r="K3" s="358"/>
      <c r="L3" s="359">
        <f aca="true" t="shared" si="0" ref="L3:L62">SUM(F3:K3)</f>
        <v>-29200</v>
      </c>
      <c r="M3" s="447" t="s">
        <v>983</v>
      </c>
    </row>
    <row r="4" spans="1:13" s="312" customFormat="1" ht="12.75" customHeight="1">
      <c r="A4" s="309"/>
      <c r="B4" s="439"/>
      <c r="C4" s="442"/>
      <c r="D4" s="445"/>
      <c r="E4" s="360" t="s">
        <v>984</v>
      </c>
      <c r="F4" s="360">
        <v>-17400</v>
      </c>
      <c r="G4" s="360">
        <v>-4800</v>
      </c>
      <c r="H4" s="360">
        <v>-7000</v>
      </c>
      <c r="I4" s="360"/>
      <c r="J4" s="360"/>
      <c r="K4" s="360"/>
      <c r="L4" s="361">
        <f t="shared" si="0"/>
        <v>-29200</v>
      </c>
      <c r="M4" s="448"/>
    </row>
    <row r="5" spans="1:13" s="312" customFormat="1" ht="12.75" customHeight="1" thickBot="1">
      <c r="A5" s="309"/>
      <c r="B5" s="440"/>
      <c r="C5" s="443"/>
      <c r="D5" s="446"/>
      <c r="E5" s="362" t="s">
        <v>985</v>
      </c>
      <c r="F5" s="362">
        <v>0</v>
      </c>
      <c r="G5" s="362">
        <v>0</v>
      </c>
      <c r="H5" s="362">
        <v>0</v>
      </c>
      <c r="I5" s="362"/>
      <c r="J5" s="362"/>
      <c r="K5" s="362"/>
      <c r="L5" s="363">
        <f t="shared" si="0"/>
        <v>0</v>
      </c>
      <c r="M5" s="449"/>
    </row>
    <row r="6" spans="1:13" s="312" customFormat="1" ht="12.75" customHeight="1">
      <c r="A6" s="309"/>
      <c r="B6" s="438" t="s">
        <v>986</v>
      </c>
      <c r="C6" s="441" t="s">
        <v>987</v>
      </c>
      <c r="D6" s="444" t="s">
        <v>988</v>
      </c>
      <c r="E6" s="358" t="s">
        <v>982</v>
      </c>
      <c r="F6" s="358">
        <v>385070</v>
      </c>
      <c r="G6" s="358">
        <v>104881</v>
      </c>
      <c r="H6" s="358"/>
      <c r="I6" s="358"/>
      <c r="J6" s="358"/>
      <c r="K6" s="358"/>
      <c r="L6" s="359">
        <f t="shared" si="0"/>
        <v>489951</v>
      </c>
      <c r="M6" s="447" t="s">
        <v>989</v>
      </c>
    </row>
    <row r="7" spans="1:13" s="312" customFormat="1" ht="12.75" customHeight="1">
      <c r="A7" s="309"/>
      <c r="B7" s="439"/>
      <c r="C7" s="442"/>
      <c r="D7" s="445"/>
      <c r="E7" s="360" t="s">
        <v>984</v>
      </c>
      <c r="F7" s="360">
        <v>374230</v>
      </c>
      <c r="G7" s="360">
        <v>101219</v>
      </c>
      <c r="H7" s="360"/>
      <c r="I7" s="360"/>
      <c r="J7" s="360"/>
      <c r="K7" s="360"/>
      <c r="L7" s="361">
        <f t="shared" si="0"/>
        <v>475449</v>
      </c>
      <c r="M7" s="448"/>
    </row>
    <row r="8" spans="1:13" s="312" customFormat="1" ht="12.75" customHeight="1" thickBot="1">
      <c r="A8" s="309"/>
      <c r="B8" s="440"/>
      <c r="C8" s="443"/>
      <c r="D8" s="446"/>
      <c r="E8" s="362" t="s">
        <v>985</v>
      </c>
      <c r="F8" s="362">
        <f>F6-F7</f>
        <v>10840</v>
      </c>
      <c r="G8" s="362">
        <f>G6-G7</f>
        <v>3662</v>
      </c>
      <c r="H8" s="362"/>
      <c r="I8" s="362"/>
      <c r="J8" s="362"/>
      <c r="K8" s="362"/>
      <c r="L8" s="363">
        <f t="shared" si="0"/>
        <v>14502</v>
      </c>
      <c r="M8" s="449"/>
    </row>
    <row r="9" spans="1:13" s="312" customFormat="1" ht="12.75" customHeight="1">
      <c r="A9" s="309"/>
      <c r="B9" s="438" t="s">
        <v>990</v>
      </c>
      <c r="C9" s="441" t="s">
        <v>614</v>
      </c>
      <c r="D9" s="444" t="s">
        <v>615</v>
      </c>
      <c r="E9" s="358" t="s">
        <v>982</v>
      </c>
      <c r="F9" s="358">
        <v>5014</v>
      </c>
      <c r="G9" s="358">
        <v>1354</v>
      </c>
      <c r="H9" s="358"/>
      <c r="I9" s="358"/>
      <c r="J9" s="358"/>
      <c r="K9" s="358"/>
      <c r="L9" s="359">
        <f t="shared" si="0"/>
        <v>6368</v>
      </c>
      <c r="M9" s="447" t="s">
        <v>991</v>
      </c>
    </row>
    <row r="10" spans="1:13" s="312" customFormat="1" ht="12.75" customHeight="1">
      <c r="A10" s="309"/>
      <c r="B10" s="439"/>
      <c r="C10" s="442"/>
      <c r="D10" s="445"/>
      <c r="E10" s="360" t="s">
        <v>984</v>
      </c>
      <c r="F10" s="360">
        <v>5014</v>
      </c>
      <c r="G10" s="360">
        <v>1354</v>
      </c>
      <c r="H10" s="360"/>
      <c r="I10" s="360"/>
      <c r="J10" s="360"/>
      <c r="K10" s="360"/>
      <c r="L10" s="361">
        <f t="shared" si="0"/>
        <v>6368</v>
      </c>
      <c r="M10" s="448"/>
    </row>
    <row r="11" spans="1:13" s="312" customFormat="1" ht="12.75" customHeight="1" thickBot="1">
      <c r="A11" s="309"/>
      <c r="B11" s="440"/>
      <c r="C11" s="443"/>
      <c r="D11" s="446"/>
      <c r="E11" s="362" t="s">
        <v>985</v>
      </c>
      <c r="F11" s="362">
        <v>0</v>
      </c>
      <c r="G11" s="362">
        <v>0</v>
      </c>
      <c r="H11" s="362"/>
      <c r="I11" s="362"/>
      <c r="J11" s="362"/>
      <c r="K11" s="362"/>
      <c r="L11" s="363">
        <f t="shared" si="0"/>
        <v>0</v>
      </c>
      <c r="M11" s="449"/>
    </row>
    <row r="12" spans="1:13" s="312" customFormat="1" ht="12.75" customHeight="1">
      <c r="A12" s="309"/>
      <c r="B12" s="438" t="s">
        <v>992</v>
      </c>
      <c r="C12" s="441" t="s">
        <v>625</v>
      </c>
      <c r="D12" s="444" t="s">
        <v>993</v>
      </c>
      <c r="E12" s="358" t="s">
        <v>982</v>
      </c>
      <c r="F12" s="358">
        <v>353</v>
      </c>
      <c r="G12" s="358">
        <v>81</v>
      </c>
      <c r="H12" s="358"/>
      <c r="I12" s="358"/>
      <c r="J12" s="358"/>
      <c r="K12" s="358"/>
      <c r="L12" s="359">
        <f t="shared" si="0"/>
        <v>434</v>
      </c>
      <c r="M12" s="447" t="s">
        <v>994</v>
      </c>
    </row>
    <row r="13" spans="1:13" s="312" customFormat="1" ht="12.75" customHeight="1">
      <c r="A13" s="309"/>
      <c r="B13" s="439"/>
      <c r="C13" s="442"/>
      <c r="D13" s="445"/>
      <c r="E13" s="360" t="s">
        <v>984</v>
      </c>
      <c r="F13" s="360">
        <v>353</v>
      </c>
      <c r="G13" s="360">
        <v>81</v>
      </c>
      <c r="H13" s="360"/>
      <c r="I13" s="360"/>
      <c r="J13" s="360"/>
      <c r="K13" s="360"/>
      <c r="L13" s="361">
        <f t="shared" si="0"/>
        <v>434</v>
      </c>
      <c r="M13" s="448"/>
    </row>
    <row r="14" spans="1:13" s="312" customFormat="1" ht="12.75" customHeight="1" thickBot="1">
      <c r="A14" s="309"/>
      <c r="B14" s="440"/>
      <c r="C14" s="443"/>
      <c r="D14" s="446"/>
      <c r="E14" s="362" t="s">
        <v>985</v>
      </c>
      <c r="F14" s="362">
        <v>0</v>
      </c>
      <c r="G14" s="362">
        <v>0</v>
      </c>
      <c r="H14" s="362"/>
      <c r="I14" s="362"/>
      <c r="J14" s="362"/>
      <c r="K14" s="362"/>
      <c r="L14" s="363">
        <f t="shared" si="0"/>
        <v>0</v>
      </c>
      <c r="M14" s="449"/>
    </row>
    <row r="15" spans="1:13" s="312" customFormat="1" ht="18" customHeight="1">
      <c r="A15" s="309"/>
      <c r="B15" s="438" t="s">
        <v>995</v>
      </c>
      <c r="C15" s="441" t="s">
        <v>644</v>
      </c>
      <c r="D15" s="444" t="s">
        <v>646</v>
      </c>
      <c r="E15" s="358" t="s">
        <v>982</v>
      </c>
      <c r="F15" s="358"/>
      <c r="G15" s="358"/>
      <c r="H15" s="358"/>
      <c r="I15" s="358">
        <v>8537</v>
      </c>
      <c r="J15" s="358">
        <v>42625</v>
      </c>
      <c r="K15" s="358"/>
      <c r="L15" s="359">
        <f t="shared" si="0"/>
        <v>51162</v>
      </c>
      <c r="M15" s="450" t="s">
        <v>996</v>
      </c>
    </row>
    <row r="16" spans="1:13" s="312" customFormat="1" ht="18" customHeight="1">
      <c r="A16" s="309"/>
      <c r="B16" s="439"/>
      <c r="C16" s="442"/>
      <c r="D16" s="445"/>
      <c r="E16" s="360" t="s">
        <v>984</v>
      </c>
      <c r="F16" s="360"/>
      <c r="G16" s="360"/>
      <c r="H16" s="360"/>
      <c r="I16" s="360">
        <v>44532</v>
      </c>
      <c r="J16" s="360">
        <v>0</v>
      </c>
      <c r="K16" s="360"/>
      <c r="L16" s="361">
        <f t="shared" si="0"/>
        <v>44532</v>
      </c>
      <c r="M16" s="451"/>
    </row>
    <row r="17" spans="1:13" s="312" customFormat="1" ht="18" customHeight="1" thickBot="1">
      <c r="A17" s="309"/>
      <c r="B17" s="440"/>
      <c r="C17" s="443"/>
      <c r="D17" s="446"/>
      <c r="E17" s="362" t="s">
        <v>985</v>
      </c>
      <c r="F17" s="362"/>
      <c r="G17" s="362"/>
      <c r="H17" s="362"/>
      <c r="I17" s="362">
        <f>I15-I16</f>
        <v>-35995</v>
      </c>
      <c r="J17" s="362">
        <f>J15-J16</f>
        <v>42625</v>
      </c>
      <c r="K17" s="362"/>
      <c r="L17" s="363">
        <f t="shared" si="0"/>
        <v>6630</v>
      </c>
      <c r="M17" s="452"/>
    </row>
    <row r="18" spans="1:13" s="366" customFormat="1" ht="15.75" customHeight="1">
      <c r="A18" s="364"/>
      <c r="B18" s="438" t="s">
        <v>997</v>
      </c>
      <c r="C18" s="441" t="s">
        <v>648</v>
      </c>
      <c r="D18" s="444" t="s">
        <v>998</v>
      </c>
      <c r="E18" s="358" t="s">
        <v>982</v>
      </c>
      <c r="F18" s="358"/>
      <c r="G18" s="358"/>
      <c r="H18" s="358">
        <v>80000</v>
      </c>
      <c r="I18" s="365"/>
      <c r="J18" s="365"/>
      <c r="K18" s="365"/>
      <c r="L18" s="359">
        <f t="shared" si="0"/>
        <v>80000</v>
      </c>
      <c r="M18" s="450" t="s">
        <v>999</v>
      </c>
    </row>
    <row r="19" spans="1:13" s="366" customFormat="1" ht="15.75" customHeight="1">
      <c r="A19" s="364"/>
      <c r="B19" s="439"/>
      <c r="C19" s="442"/>
      <c r="D19" s="445"/>
      <c r="E19" s="360" t="s">
        <v>984</v>
      </c>
      <c r="F19" s="360"/>
      <c r="G19" s="360"/>
      <c r="H19" s="360">
        <v>33566</v>
      </c>
      <c r="I19" s="360">
        <v>7622</v>
      </c>
      <c r="J19" s="367"/>
      <c r="K19" s="367"/>
      <c r="L19" s="361">
        <f t="shared" si="0"/>
        <v>41188</v>
      </c>
      <c r="M19" s="451"/>
    </row>
    <row r="20" spans="1:13" s="366" customFormat="1" ht="15.75" customHeight="1" thickBot="1">
      <c r="A20" s="364"/>
      <c r="B20" s="440"/>
      <c r="C20" s="443"/>
      <c r="D20" s="446"/>
      <c r="E20" s="362" t="s">
        <v>985</v>
      </c>
      <c r="F20" s="362"/>
      <c r="G20" s="362"/>
      <c r="H20" s="362">
        <f>H18-H19</f>
        <v>46434</v>
      </c>
      <c r="I20" s="362">
        <f>I18-I19</f>
        <v>-7622</v>
      </c>
      <c r="J20" s="362"/>
      <c r="K20" s="362"/>
      <c r="L20" s="363">
        <f t="shared" si="0"/>
        <v>38812</v>
      </c>
      <c r="M20" s="452"/>
    </row>
    <row r="21" spans="1:13" s="312" customFormat="1" ht="12.75" customHeight="1">
      <c r="A21" s="309"/>
      <c r="B21" s="438" t="s">
        <v>1000</v>
      </c>
      <c r="C21" s="441" t="s">
        <v>648</v>
      </c>
      <c r="D21" s="444" t="s">
        <v>653</v>
      </c>
      <c r="E21" s="358" t="s">
        <v>982</v>
      </c>
      <c r="F21" s="358"/>
      <c r="G21" s="358"/>
      <c r="H21" s="358">
        <v>45000</v>
      </c>
      <c r="I21" s="358"/>
      <c r="J21" s="358"/>
      <c r="K21" s="358"/>
      <c r="L21" s="359">
        <f t="shared" si="0"/>
        <v>45000</v>
      </c>
      <c r="M21" s="453" t="s">
        <v>1001</v>
      </c>
    </row>
    <row r="22" spans="1:13" s="312" customFormat="1" ht="12.75" customHeight="1">
      <c r="A22" s="309"/>
      <c r="B22" s="439"/>
      <c r="C22" s="442"/>
      <c r="D22" s="445"/>
      <c r="E22" s="360" t="s">
        <v>984</v>
      </c>
      <c r="F22" s="360"/>
      <c r="G22" s="360"/>
      <c r="H22" s="360">
        <v>45000</v>
      </c>
      <c r="I22" s="360"/>
      <c r="J22" s="360"/>
      <c r="K22" s="360"/>
      <c r="L22" s="361">
        <f t="shared" si="0"/>
        <v>45000</v>
      </c>
      <c r="M22" s="454"/>
    </row>
    <row r="23" spans="1:13" s="312" customFormat="1" ht="12.75" customHeight="1" thickBot="1">
      <c r="A23" s="309"/>
      <c r="B23" s="440"/>
      <c r="C23" s="443"/>
      <c r="D23" s="446"/>
      <c r="E23" s="362" t="s">
        <v>985</v>
      </c>
      <c r="F23" s="362"/>
      <c r="G23" s="362"/>
      <c r="H23" s="362">
        <f>H21-H22</f>
        <v>0</v>
      </c>
      <c r="I23" s="362"/>
      <c r="J23" s="362"/>
      <c r="K23" s="362"/>
      <c r="L23" s="363">
        <f t="shared" si="0"/>
        <v>0</v>
      </c>
      <c r="M23" s="455"/>
    </row>
    <row r="24" spans="1:13" s="312" customFormat="1" ht="12.75" customHeight="1">
      <c r="A24" s="309"/>
      <c r="B24" s="438" t="s">
        <v>1002</v>
      </c>
      <c r="C24" s="441" t="s">
        <v>655</v>
      </c>
      <c r="D24" s="444" t="s">
        <v>1003</v>
      </c>
      <c r="E24" s="358" t="s">
        <v>982</v>
      </c>
      <c r="F24" s="358">
        <v>12676</v>
      </c>
      <c r="G24" s="358"/>
      <c r="H24" s="358"/>
      <c r="I24" s="358"/>
      <c r="J24" s="358"/>
      <c r="K24" s="358"/>
      <c r="L24" s="359">
        <f t="shared" si="0"/>
        <v>12676</v>
      </c>
      <c r="M24" s="453" t="s">
        <v>1004</v>
      </c>
    </row>
    <row r="25" spans="1:13" s="312" customFormat="1" ht="12.75" customHeight="1">
      <c r="A25" s="309"/>
      <c r="B25" s="439"/>
      <c r="C25" s="442"/>
      <c r="D25" s="445"/>
      <c r="E25" s="360" t="s">
        <v>984</v>
      </c>
      <c r="F25" s="360">
        <v>12676</v>
      </c>
      <c r="G25" s="360"/>
      <c r="H25" s="360"/>
      <c r="I25" s="360"/>
      <c r="J25" s="360"/>
      <c r="K25" s="360"/>
      <c r="L25" s="361">
        <f t="shared" si="0"/>
        <v>12676</v>
      </c>
      <c r="M25" s="454"/>
    </row>
    <row r="26" spans="1:13" s="312" customFormat="1" ht="12.75" customHeight="1" thickBot="1">
      <c r="A26" s="309"/>
      <c r="B26" s="440"/>
      <c r="C26" s="443"/>
      <c r="D26" s="446"/>
      <c r="E26" s="362" t="s">
        <v>985</v>
      </c>
      <c r="F26" s="362">
        <v>0</v>
      </c>
      <c r="G26" s="362"/>
      <c r="H26" s="362"/>
      <c r="I26" s="362"/>
      <c r="J26" s="362"/>
      <c r="K26" s="362"/>
      <c r="L26" s="363">
        <f t="shared" si="0"/>
        <v>0</v>
      </c>
      <c r="M26" s="455"/>
    </row>
    <row r="27" spans="1:13" s="312" customFormat="1" ht="12.75" customHeight="1">
      <c r="A27" s="309"/>
      <c r="B27" s="438" t="s">
        <v>1005</v>
      </c>
      <c r="C27" s="441" t="s">
        <v>655</v>
      </c>
      <c r="D27" s="444" t="s">
        <v>1006</v>
      </c>
      <c r="E27" s="358" t="s">
        <v>982</v>
      </c>
      <c r="F27" s="358">
        <v>30869</v>
      </c>
      <c r="G27" s="358">
        <v>8273</v>
      </c>
      <c r="H27" s="358"/>
      <c r="I27" s="358"/>
      <c r="J27" s="358"/>
      <c r="K27" s="358"/>
      <c r="L27" s="359">
        <f t="shared" si="0"/>
        <v>39142</v>
      </c>
      <c r="M27" s="453" t="s">
        <v>1007</v>
      </c>
    </row>
    <row r="28" spans="1:13" s="312" customFormat="1" ht="12.75" customHeight="1">
      <c r="A28" s="309"/>
      <c r="B28" s="439"/>
      <c r="C28" s="442"/>
      <c r="D28" s="445"/>
      <c r="E28" s="360" t="s">
        <v>984</v>
      </c>
      <c r="F28" s="360">
        <v>30869</v>
      </c>
      <c r="G28" s="360">
        <v>8273</v>
      </c>
      <c r="H28" s="360"/>
      <c r="I28" s="360"/>
      <c r="J28" s="360"/>
      <c r="K28" s="360"/>
      <c r="L28" s="361">
        <f t="shared" si="0"/>
        <v>39142</v>
      </c>
      <c r="M28" s="454"/>
    </row>
    <row r="29" spans="1:13" s="312" customFormat="1" ht="12.75" customHeight="1" thickBot="1">
      <c r="A29" s="309"/>
      <c r="B29" s="440"/>
      <c r="C29" s="443"/>
      <c r="D29" s="446"/>
      <c r="E29" s="362" t="s">
        <v>985</v>
      </c>
      <c r="F29" s="362">
        <v>0</v>
      </c>
      <c r="G29" s="362">
        <v>0</v>
      </c>
      <c r="H29" s="362"/>
      <c r="I29" s="362"/>
      <c r="J29" s="362"/>
      <c r="K29" s="362"/>
      <c r="L29" s="363">
        <f t="shared" si="0"/>
        <v>0</v>
      </c>
      <c r="M29" s="455"/>
    </row>
    <row r="30" spans="1:13" s="312" customFormat="1" ht="12.75" customHeight="1">
      <c r="A30" s="309"/>
      <c r="B30" s="438" t="s">
        <v>1008</v>
      </c>
      <c r="C30" s="441" t="s">
        <v>662</v>
      </c>
      <c r="D30" s="444" t="s">
        <v>179</v>
      </c>
      <c r="E30" s="358" t="s">
        <v>982</v>
      </c>
      <c r="F30" s="358">
        <v>58420</v>
      </c>
      <c r="G30" s="358">
        <v>18694</v>
      </c>
      <c r="H30" s="358">
        <v>39725</v>
      </c>
      <c r="I30" s="358"/>
      <c r="J30" s="358"/>
      <c r="K30" s="358"/>
      <c r="L30" s="359">
        <f t="shared" si="0"/>
        <v>116839</v>
      </c>
      <c r="M30" s="447" t="s">
        <v>1009</v>
      </c>
    </row>
    <row r="31" spans="1:13" s="312" customFormat="1" ht="12.75" customHeight="1">
      <c r="A31" s="309"/>
      <c r="B31" s="439"/>
      <c r="C31" s="442"/>
      <c r="D31" s="445"/>
      <c r="E31" s="360" t="s">
        <v>984</v>
      </c>
      <c r="F31" s="360">
        <v>0</v>
      </c>
      <c r="G31" s="360">
        <v>0</v>
      </c>
      <c r="H31" s="360">
        <v>0</v>
      </c>
      <c r="I31" s="360">
        <v>91330</v>
      </c>
      <c r="J31" s="360"/>
      <c r="K31" s="360"/>
      <c r="L31" s="361">
        <f t="shared" si="0"/>
        <v>91330</v>
      </c>
      <c r="M31" s="448"/>
    </row>
    <row r="32" spans="1:13" s="312" customFormat="1" ht="12.75" customHeight="1" thickBot="1">
      <c r="A32" s="309"/>
      <c r="B32" s="440"/>
      <c r="C32" s="443"/>
      <c r="D32" s="446"/>
      <c r="E32" s="362" t="s">
        <v>985</v>
      </c>
      <c r="F32" s="362">
        <f>F30-F31</f>
        <v>58420</v>
      </c>
      <c r="G32" s="362">
        <f>G30-G31</f>
        <v>18694</v>
      </c>
      <c r="H32" s="362">
        <f>H30-H31</f>
        <v>39725</v>
      </c>
      <c r="I32" s="362">
        <f>I30-I31</f>
        <v>-91330</v>
      </c>
      <c r="J32" s="362"/>
      <c r="K32" s="362"/>
      <c r="L32" s="363">
        <f t="shared" si="0"/>
        <v>25509</v>
      </c>
      <c r="M32" s="449"/>
    </row>
    <row r="33" spans="1:13" s="312" customFormat="1" ht="12.75" customHeight="1">
      <c r="A33" s="309"/>
      <c r="B33" s="438" t="s">
        <v>1010</v>
      </c>
      <c r="C33" s="441" t="s">
        <v>697</v>
      </c>
      <c r="D33" s="444" t="s">
        <v>988</v>
      </c>
      <c r="E33" s="358" t="s">
        <v>982</v>
      </c>
      <c r="F33" s="358">
        <v>-10840</v>
      </c>
      <c r="G33" s="358">
        <v>-3662</v>
      </c>
      <c r="H33" s="358"/>
      <c r="I33" s="358"/>
      <c r="J33" s="358"/>
      <c r="K33" s="358"/>
      <c r="L33" s="359">
        <f t="shared" si="0"/>
        <v>-14502</v>
      </c>
      <c r="M33" s="447" t="s">
        <v>1011</v>
      </c>
    </row>
    <row r="34" spans="1:13" s="312" customFormat="1" ht="12.75" customHeight="1">
      <c r="A34" s="309"/>
      <c r="B34" s="439"/>
      <c r="C34" s="442"/>
      <c r="D34" s="445"/>
      <c r="E34" s="360" t="s">
        <v>984</v>
      </c>
      <c r="F34" s="360">
        <v>-10840</v>
      </c>
      <c r="G34" s="360">
        <v>-3662</v>
      </c>
      <c r="H34" s="360"/>
      <c r="I34" s="360"/>
      <c r="J34" s="360"/>
      <c r="K34" s="360"/>
      <c r="L34" s="361">
        <f t="shared" si="0"/>
        <v>-14502</v>
      </c>
      <c r="M34" s="448"/>
    </row>
    <row r="35" spans="1:13" s="312" customFormat="1" ht="12.75" customHeight="1" thickBot="1">
      <c r="A35" s="309"/>
      <c r="B35" s="440"/>
      <c r="C35" s="443"/>
      <c r="D35" s="446"/>
      <c r="E35" s="362" t="s">
        <v>985</v>
      </c>
      <c r="F35" s="362">
        <v>0</v>
      </c>
      <c r="G35" s="362">
        <v>0</v>
      </c>
      <c r="H35" s="362"/>
      <c r="I35" s="362"/>
      <c r="J35" s="362"/>
      <c r="K35" s="362"/>
      <c r="L35" s="363">
        <f t="shared" si="0"/>
        <v>0</v>
      </c>
      <c r="M35" s="449"/>
    </row>
    <row r="36" spans="1:13" s="312" customFormat="1" ht="12.75" customHeight="1">
      <c r="A36" s="309"/>
      <c r="B36" s="438" t="s">
        <v>1012</v>
      </c>
      <c r="C36" s="441" t="s">
        <v>700</v>
      </c>
      <c r="D36" s="444" t="s">
        <v>1013</v>
      </c>
      <c r="E36" s="358" t="s">
        <v>982</v>
      </c>
      <c r="F36" s="358"/>
      <c r="G36" s="358"/>
      <c r="H36" s="358">
        <v>11000</v>
      </c>
      <c r="I36" s="358"/>
      <c r="J36" s="358"/>
      <c r="K36" s="358"/>
      <c r="L36" s="359">
        <f t="shared" si="0"/>
        <v>11000</v>
      </c>
      <c r="M36" s="447" t="s">
        <v>1014</v>
      </c>
    </row>
    <row r="37" spans="1:13" s="312" customFormat="1" ht="12.75" customHeight="1">
      <c r="A37" s="309"/>
      <c r="B37" s="439"/>
      <c r="C37" s="442"/>
      <c r="D37" s="445"/>
      <c r="E37" s="360" t="s">
        <v>984</v>
      </c>
      <c r="F37" s="360"/>
      <c r="G37" s="360"/>
      <c r="H37" s="360">
        <v>11000</v>
      </c>
      <c r="I37" s="360"/>
      <c r="J37" s="360"/>
      <c r="K37" s="360"/>
      <c r="L37" s="361">
        <f t="shared" si="0"/>
        <v>11000</v>
      </c>
      <c r="M37" s="448"/>
    </row>
    <row r="38" spans="1:13" s="312" customFormat="1" ht="12.75" customHeight="1" thickBot="1">
      <c r="A38" s="309"/>
      <c r="B38" s="440"/>
      <c r="C38" s="443"/>
      <c r="D38" s="446"/>
      <c r="E38" s="362" t="s">
        <v>985</v>
      </c>
      <c r="F38" s="362"/>
      <c r="G38" s="362"/>
      <c r="H38" s="362">
        <v>0</v>
      </c>
      <c r="I38" s="362"/>
      <c r="J38" s="362"/>
      <c r="K38" s="362"/>
      <c r="L38" s="363">
        <f t="shared" si="0"/>
        <v>0</v>
      </c>
      <c r="M38" s="449"/>
    </row>
    <row r="39" spans="1:13" s="312" customFormat="1" ht="18" customHeight="1">
      <c r="A39" s="309"/>
      <c r="B39" s="438" t="s">
        <v>1015</v>
      </c>
      <c r="C39" s="441" t="s">
        <v>716</v>
      </c>
      <c r="D39" s="444" t="s">
        <v>896</v>
      </c>
      <c r="E39" s="358" t="s">
        <v>982</v>
      </c>
      <c r="F39" s="358"/>
      <c r="G39" s="358"/>
      <c r="H39" s="358">
        <v>16330</v>
      </c>
      <c r="I39" s="358"/>
      <c r="J39" s="358"/>
      <c r="K39" s="358">
        <v>28670</v>
      </c>
      <c r="L39" s="359">
        <f t="shared" si="0"/>
        <v>45000</v>
      </c>
      <c r="M39" s="453" t="s">
        <v>1016</v>
      </c>
    </row>
    <row r="40" spans="1:13" s="312" customFormat="1" ht="18" customHeight="1">
      <c r="A40" s="309"/>
      <c r="B40" s="439"/>
      <c r="C40" s="442"/>
      <c r="D40" s="445"/>
      <c r="E40" s="360" t="s">
        <v>984</v>
      </c>
      <c r="F40" s="360"/>
      <c r="G40" s="360"/>
      <c r="H40" s="360">
        <v>31271</v>
      </c>
      <c r="I40" s="360"/>
      <c r="J40" s="360"/>
      <c r="K40" s="360">
        <v>13706</v>
      </c>
      <c r="L40" s="361">
        <f t="shared" si="0"/>
        <v>44977</v>
      </c>
      <c r="M40" s="454"/>
    </row>
    <row r="41" spans="1:13" s="312" customFormat="1" ht="18" customHeight="1" thickBot="1">
      <c r="A41" s="309"/>
      <c r="B41" s="440"/>
      <c r="C41" s="443"/>
      <c r="D41" s="446"/>
      <c r="E41" s="362" t="s">
        <v>985</v>
      </c>
      <c r="F41" s="362"/>
      <c r="G41" s="362"/>
      <c r="H41" s="362">
        <f>H39-H40</f>
        <v>-14941</v>
      </c>
      <c r="I41" s="362"/>
      <c r="J41" s="362"/>
      <c r="K41" s="362">
        <f>K39-K40</f>
        <v>14964</v>
      </c>
      <c r="L41" s="363">
        <f t="shared" si="0"/>
        <v>23</v>
      </c>
      <c r="M41" s="455"/>
    </row>
    <row r="42" spans="1:13" s="312" customFormat="1" ht="12.75" customHeight="1">
      <c r="A42" s="309"/>
      <c r="B42" s="438" t="s">
        <v>1017</v>
      </c>
      <c r="C42" s="441" t="s">
        <v>1018</v>
      </c>
      <c r="D42" s="444" t="s">
        <v>1019</v>
      </c>
      <c r="E42" s="358" t="s">
        <v>982</v>
      </c>
      <c r="F42" s="358">
        <v>12264</v>
      </c>
      <c r="G42" s="358">
        <v>2937</v>
      </c>
      <c r="H42" s="358">
        <v>2319</v>
      </c>
      <c r="I42" s="358"/>
      <c r="J42" s="358"/>
      <c r="K42" s="358"/>
      <c r="L42" s="359">
        <f t="shared" si="0"/>
        <v>17520</v>
      </c>
      <c r="M42" s="447" t="s">
        <v>1020</v>
      </c>
    </row>
    <row r="43" spans="1:13" s="312" customFormat="1" ht="12.75" customHeight="1">
      <c r="A43" s="309"/>
      <c r="B43" s="439"/>
      <c r="C43" s="442"/>
      <c r="D43" s="445"/>
      <c r="E43" s="360" t="s">
        <v>984</v>
      </c>
      <c r="F43" s="360">
        <v>7857</v>
      </c>
      <c r="G43" s="360">
        <v>2065</v>
      </c>
      <c r="H43" s="360">
        <v>2319</v>
      </c>
      <c r="I43" s="360"/>
      <c r="J43" s="360"/>
      <c r="K43" s="360"/>
      <c r="L43" s="361">
        <f t="shared" si="0"/>
        <v>12241</v>
      </c>
      <c r="M43" s="448"/>
    </row>
    <row r="44" spans="1:13" s="312" customFormat="1" ht="12.75" customHeight="1" thickBot="1">
      <c r="A44" s="309"/>
      <c r="B44" s="440"/>
      <c r="C44" s="443"/>
      <c r="D44" s="446"/>
      <c r="E44" s="362" t="s">
        <v>985</v>
      </c>
      <c r="F44" s="362">
        <f>F42-F43</f>
        <v>4407</v>
      </c>
      <c r="G44" s="362">
        <f>G42-G43</f>
        <v>872</v>
      </c>
      <c r="H44" s="362">
        <f>H42-H43</f>
        <v>0</v>
      </c>
      <c r="I44" s="362"/>
      <c r="J44" s="362"/>
      <c r="K44" s="362"/>
      <c r="L44" s="363">
        <f t="shared" si="0"/>
        <v>5279</v>
      </c>
      <c r="M44" s="449"/>
    </row>
    <row r="45" spans="1:13" s="312" customFormat="1" ht="12.75" customHeight="1">
      <c r="A45" s="309"/>
      <c r="B45" s="438" t="s">
        <v>1021</v>
      </c>
      <c r="C45" s="441" t="s">
        <v>759</v>
      </c>
      <c r="D45" s="444" t="s">
        <v>1022</v>
      </c>
      <c r="E45" s="358" t="s">
        <v>982</v>
      </c>
      <c r="F45" s="358">
        <v>4000</v>
      </c>
      <c r="G45" s="358">
        <v>1280</v>
      </c>
      <c r="H45" s="358">
        <v>15593</v>
      </c>
      <c r="I45" s="358"/>
      <c r="J45" s="358"/>
      <c r="K45" s="358"/>
      <c r="L45" s="359">
        <f t="shared" si="0"/>
        <v>20873</v>
      </c>
      <c r="M45" s="447" t="s">
        <v>1023</v>
      </c>
    </row>
    <row r="46" spans="1:13" s="312" customFormat="1" ht="12.75" customHeight="1">
      <c r="A46" s="309"/>
      <c r="B46" s="439"/>
      <c r="C46" s="442"/>
      <c r="D46" s="445"/>
      <c r="E46" s="360" t="s">
        <v>984</v>
      </c>
      <c r="F46" s="360">
        <v>4000</v>
      </c>
      <c r="G46" s="360">
        <v>1280</v>
      </c>
      <c r="H46" s="360">
        <v>15593</v>
      </c>
      <c r="I46" s="360"/>
      <c r="J46" s="360"/>
      <c r="K46" s="360"/>
      <c r="L46" s="361">
        <f t="shared" si="0"/>
        <v>20873</v>
      </c>
      <c r="M46" s="448"/>
    </row>
    <row r="47" spans="1:13" s="312" customFormat="1" ht="12.75" customHeight="1" thickBot="1">
      <c r="A47" s="309"/>
      <c r="B47" s="440"/>
      <c r="C47" s="443"/>
      <c r="D47" s="446"/>
      <c r="E47" s="362" t="s">
        <v>985</v>
      </c>
      <c r="F47" s="362">
        <v>0</v>
      </c>
      <c r="G47" s="362">
        <v>0</v>
      </c>
      <c r="H47" s="362">
        <v>0</v>
      </c>
      <c r="I47" s="362"/>
      <c r="J47" s="362"/>
      <c r="K47" s="362"/>
      <c r="L47" s="363">
        <f t="shared" si="0"/>
        <v>0</v>
      </c>
      <c r="M47" s="449"/>
    </row>
    <row r="48" spans="1:13" s="312" customFormat="1" ht="12.75" customHeight="1">
      <c r="A48" s="357"/>
      <c r="B48" s="438" t="s">
        <v>1024</v>
      </c>
      <c r="C48" s="441" t="s">
        <v>782</v>
      </c>
      <c r="D48" s="444" t="s">
        <v>1025</v>
      </c>
      <c r="E48" s="358" t="s">
        <v>982</v>
      </c>
      <c r="F48" s="358">
        <v>29574</v>
      </c>
      <c r="G48" s="358">
        <v>7713</v>
      </c>
      <c r="H48" s="358">
        <v>210</v>
      </c>
      <c r="I48" s="358"/>
      <c r="J48" s="358"/>
      <c r="K48" s="358"/>
      <c r="L48" s="359">
        <f t="shared" si="0"/>
        <v>37497</v>
      </c>
      <c r="M48" s="453" t="s">
        <v>1026</v>
      </c>
    </row>
    <row r="49" spans="1:13" s="312" customFormat="1" ht="12.75" customHeight="1">
      <c r="A49" s="309"/>
      <c r="B49" s="439"/>
      <c r="C49" s="442"/>
      <c r="D49" s="445"/>
      <c r="E49" s="360" t="s">
        <v>984</v>
      </c>
      <c r="F49" s="360">
        <v>29574</v>
      </c>
      <c r="G49" s="360">
        <v>7713</v>
      </c>
      <c r="H49" s="360">
        <v>210</v>
      </c>
      <c r="I49" s="360"/>
      <c r="J49" s="360"/>
      <c r="K49" s="360"/>
      <c r="L49" s="361">
        <f t="shared" si="0"/>
        <v>37497</v>
      </c>
      <c r="M49" s="454"/>
    </row>
    <row r="50" spans="1:13" s="312" customFormat="1" ht="12.75" customHeight="1" thickBot="1">
      <c r="A50" s="309"/>
      <c r="B50" s="440"/>
      <c r="C50" s="443"/>
      <c r="D50" s="446"/>
      <c r="E50" s="362" t="s">
        <v>985</v>
      </c>
      <c r="F50" s="362">
        <v>0</v>
      </c>
      <c r="G50" s="362">
        <v>0</v>
      </c>
      <c r="H50" s="362">
        <v>0</v>
      </c>
      <c r="I50" s="362"/>
      <c r="J50" s="362"/>
      <c r="K50" s="362"/>
      <c r="L50" s="363">
        <f t="shared" si="0"/>
        <v>0</v>
      </c>
      <c r="M50" s="455"/>
    </row>
    <row r="51" spans="1:13" s="312" customFormat="1" ht="12.75" customHeight="1">
      <c r="A51" s="309"/>
      <c r="B51" s="438" t="s">
        <v>1027</v>
      </c>
      <c r="C51" s="441" t="s">
        <v>1028</v>
      </c>
      <c r="D51" s="444" t="s">
        <v>1029</v>
      </c>
      <c r="E51" s="358" t="s">
        <v>982</v>
      </c>
      <c r="F51" s="358">
        <v>12743</v>
      </c>
      <c r="G51" s="358"/>
      <c r="H51" s="358"/>
      <c r="I51" s="358"/>
      <c r="J51" s="358"/>
      <c r="K51" s="358"/>
      <c r="L51" s="359">
        <f t="shared" si="0"/>
        <v>12743</v>
      </c>
      <c r="M51" s="453" t="s">
        <v>1030</v>
      </c>
    </row>
    <row r="52" spans="1:13" s="312" customFormat="1" ht="12.75" customHeight="1">
      <c r="A52" s="309"/>
      <c r="B52" s="439"/>
      <c r="C52" s="442"/>
      <c r="D52" s="445"/>
      <c r="E52" s="360" t="s">
        <v>984</v>
      </c>
      <c r="F52" s="360">
        <v>12743</v>
      </c>
      <c r="G52" s="360"/>
      <c r="H52" s="360"/>
      <c r="I52" s="360"/>
      <c r="J52" s="360"/>
      <c r="K52" s="360"/>
      <c r="L52" s="361">
        <f t="shared" si="0"/>
        <v>12743</v>
      </c>
      <c r="M52" s="454"/>
    </row>
    <row r="53" spans="1:13" s="312" customFormat="1" ht="12.75" customHeight="1" thickBot="1">
      <c r="A53" s="309"/>
      <c r="B53" s="440"/>
      <c r="C53" s="443"/>
      <c r="D53" s="446"/>
      <c r="E53" s="362" t="s">
        <v>985</v>
      </c>
      <c r="F53" s="362">
        <v>0</v>
      </c>
      <c r="G53" s="362"/>
      <c r="H53" s="362"/>
      <c r="I53" s="362"/>
      <c r="J53" s="362"/>
      <c r="K53" s="362"/>
      <c r="L53" s="363">
        <f t="shared" si="0"/>
        <v>0</v>
      </c>
      <c r="M53" s="455"/>
    </row>
    <row r="54" spans="1:13" s="312" customFormat="1" ht="12.75" customHeight="1">
      <c r="A54" s="309"/>
      <c r="B54" s="438" t="s">
        <v>1031</v>
      </c>
      <c r="C54" s="441" t="s">
        <v>789</v>
      </c>
      <c r="D54" s="444" t="s">
        <v>1032</v>
      </c>
      <c r="E54" s="358" t="s">
        <v>982</v>
      </c>
      <c r="F54" s="358">
        <v>7368</v>
      </c>
      <c r="G54" s="358">
        <v>1989</v>
      </c>
      <c r="H54" s="358"/>
      <c r="I54" s="358"/>
      <c r="J54" s="358"/>
      <c r="K54" s="358"/>
      <c r="L54" s="359">
        <f t="shared" si="0"/>
        <v>9357</v>
      </c>
      <c r="M54" s="447" t="s">
        <v>1033</v>
      </c>
    </row>
    <row r="55" spans="1:13" s="312" customFormat="1" ht="12.75" customHeight="1">
      <c r="A55" s="309"/>
      <c r="B55" s="439"/>
      <c r="C55" s="442"/>
      <c r="D55" s="445"/>
      <c r="E55" s="360" t="s">
        <v>984</v>
      </c>
      <c r="F55" s="360">
        <v>7368</v>
      </c>
      <c r="G55" s="360">
        <v>1989</v>
      </c>
      <c r="H55" s="360"/>
      <c r="I55" s="360"/>
      <c r="J55" s="360"/>
      <c r="K55" s="360"/>
      <c r="L55" s="361">
        <f t="shared" si="0"/>
        <v>9357</v>
      </c>
      <c r="M55" s="448"/>
    </row>
    <row r="56" spans="1:13" s="312" customFormat="1" ht="12.75" customHeight="1" thickBot="1">
      <c r="A56" s="309"/>
      <c r="B56" s="440"/>
      <c r="C56" s="443"/>
      <c r="D56" s="446"/>
      <c r="E56" s="362" t="s">
        <v>985</v>
      </c>
      <c r="F56" s="362">
        <v>0</v>
      </c>
      <c r="G56" s="362">
        <v>0</v>
      </c>
      <c r="H56" s="362"/>
      <c r="I56" s="362"/>
      <c r="J56" s="362"/>
      <c r="K56" s="362"/>
      <c r="L56" s="363">
        <f t="shared" si="0"/>
        <v>0</v>
      </c>
      <c r="M56" s="449"/>
    </row>
    <row r="57" spans="1:13" s="312" customFormat="1" ht="12.75" customHeight="1">
      <c r="A57" s="309"/>
      <c r="B57" s="438" t="s">
        <v>1034</v>
      </c>
      <c r="C57" s="441" t="s">
        <v>802</v>
      </c>
      <c r="D57" s="444" t="s">
        <v>804</v>
      </c>
      <c r="E57" s="358" t="s">
        <v>982</v>
      </c>
      <c r="F57" s="358"/>
      <c r="G57" s="358"/>
      <c r="H57" s="358">
        <v>3000</v>
      </c>
      <c r="I57" s="358"/>
      <c r="J57" s="358"/>
      <c r="K57" s="368"/>
      <c r="L57" s="359">
        <f t="shared" si="0"/>
        <v>3000</v>
      </c>
      <c r="M57" s="447" t="s">
        <v>1035</v>
      </c>
    </row>
    <row r="58" spans="1:13" s="312" customFormat="1" ht="12.75" customHeight="1">
      <c r="A58" s="309"/>
      <c r="B58" s="439"/>
      <c r="C58" s="442"/>
      <c r="D58" s="445"/>
      <c r="E58" s="360" t="s">
        <v>984</v>
      </c>
      <c r="F58" s="360"/>
      <c r="G58" s="360"/>
      <c r="H58" s="360">
        <v>2000</v>
      </c>
      <c r="I58" s="360"/>
      <c r="J58" s="360"/>
      <c r="K58" s="369"/>
      <c r="L58" s="361">
        <f t="shared" si="0"/>
        <v>2000</v>
      </c>
      <c r="M58" s="448"/>
    </row>
    <row r="59" spans="1:13" s="312" customFormat="1" ht="12.75" customHeight="1" thickBot="1">
      <c r="A59" s="309"/>
      <c r="B59" s="440"/>
      <c r="C59" s="443"/>
      <c r="D59" s="446"/>
      <c r="E59" s="362" t="s">
        <v>985</v>
      </c>
      <c r="F59" s="362"/>
      <c r="G59" s="362"/>
      <c r="H59" s="362">
        <f>H57-H58</f>
        <v>1000</v>
      </c>
      <c r="I59" s="362"/>
      <c r="J59" s="362"/>
      <c r="K59" s="370"/>
      <c r="L59" s="363">
        <f t="shared" si="0"/>
        <v>1000</v>
      </c>
      <c r="M59" s="449"/>
    </row>
    <row r="60" spans="1:13" s="312" customFormat="1" ht="12.75" customHeight="1">
      <c r="A60" s="309"/>
      <c r="B60" s="438" t="s">
        <v>1036</v>
      </c>
      <c r="C60" s="441" t="s">
        <v>848</v>
      </c>
      <c r="D60" s="444" t="s">
        <v>1037</v>
      </c>
      <c r="E60" s="358" t="s">
        <v>982</v>
      </c>
      <c r="F60" s="358">
        <v>-12600</v>
      </c>
      <c r="G60" s="358">
        <v>-3400</v>
      </c>
      <c r="H60" s="358">
        <v>-2525</v>
      </c>
      <c r="I60" s="358"/>
      <c r="J60" s="358"/>
      <c r="K60" s="358"/>
      <c r="L60" s="359">
        <f t="shared" si="0"/>
        <v>-18525</v>
      </c>
      <c r="M60" s="453" t="s">
        <v>1038</v>
      </c>
    </row>
    <row r="61" spans="1:13" s="312" customFormat="1" ht="12.75" customHeight="1">
      <c r="A61" s="309"/>
      <c r="B61" s="439"/>
      <c r="C61" s="442"/>
      <c r="D61" s="445"/>
      <c r="E61" s="360" t="s">
        <v>984</v>
      </c>
      <c r="F61" s="360">
        <v>-12600</v>
      </c>
      <c r="G61" s="360">
        <v>-3400</v>
      </c>
      <c r="H61" s="360">
        <v>-2525</v>
      </c>
      <c r="I61" s="360"/>
      <c r="J61" s="360"/>
      <c r="K61" s="360"/>
      <c r="L61" s="361">
        <f t="shared" si="0"/>
        <v>-18525</v>
      </c>
      <c r="M61" s="454"/>
    </row>
    <row r="62" spans="1:13" s="312" customFormat="1" ht="12.75" customHeight="1" thickBot="1">
      <c r="A62" s="309"/>
      <c r="B62" s="440"/>
      <c r="C62" s="443"/>
      <c r="D62" s="446"/>
      <c r="E62" s="362" t="s">
        <v>985</v>
      </c>
      <c r="F62" s="362"/>
      <c r="G62" s="362"/>
      <c r="H62" s="362"/>
      <c r="I62" s="362"/>
      <c r="J62" s="362"/>
      <c r="K62" s="362"/>
      <c r="L62" s="363">
        <f t="shared" si="0"/>
        <v>0</v>
      </c>
      <c r="M62" s="455"/>
    </row>
    <row r="63" spans="1:13" s="312" customFormat="1" ht="12.75" customHeight="1">
      <c r="A63" s="309"/>
      <c r="B63" s="438" t="s">
        <v>1039</v>
      </c>
      <c r="C63" s="456" t="s">
        <v>851</v>
      </c>
      <c r="D63" s="459" t="s">
        <v>881</v>
      </c>
      <c r="E63" s="358" t="s">
        <v>982</v>
      </c>
      <c r="F63" s="358"/>
      <c r="G63" s="358"/>
      <c r="H63" s="358">
        <v>100000</v>
      </c>
      <c r="I63" s="358"/>
      <c r="J63" s="358"/>
      <c r="K63" s="358"/>
      <c r="L63" s="359">
        <f>SUM(F63:K63)</f>
        <v>100000</v>
      </c>
      <c r="M63" s="447" t="s">
        <v>1040</v>
      </c>
    </row>
    <row r="64" spans="1:13" s="312" customFormat="1" ht="12.75" customHeight="1">
      <c r="A64" s="309"/>
      <c r="B64" s="439"/>
      <c r="C64" s="457"/>
      <c r="D64" s="460"/>
      <c r="E64" s="360" t="s">
        <v>984</v>
      </c>
      <c r="F64" s="360"/>
      <c r="G64" s="360"/>
      <c r="H64" s="360">
        <v>100000</v>
      </c>
      <c r="I64" s="360"/>
      <c r="J64" s="360"/>
      <c r="K64" s="360"/>
      <c r="L64" s="361">
        <f>SUM(F64:K64)</f>
        <v>100000</v>
      </c>
      <c r="M64" s="448"/>
    </row>
    <row r="65" spans="1:13" s="312" customFormat="1" ht="12.75" customHeight="1" thickBot="1">
      <c r="A65" s="309"/>
      <c r="B65" s="440"/>
      <c r="C65" s="458"/>
      <c r="D65" s="461"/>
      <c r="E65" s="362" t="s">
        <v>985</v>
      </c>
      <c r="F65" s="362"/>
      <c r="G65" s="362"/>
      <c r="H65" s="362">
        <v>0</v>
      </c>
      <c r="I65" s="362"/>
      <c r="J65" s="362"/>
      <c r="K65" s="362"/>
      <c r="L65" s="363">
        <f>SUM(F65:K65)</f>
        <v>0</v>
      </c>
      <c r="M65" s="449"/>
    </row>
    <row r="66" spans="1:13" s="312" customFormat="1" ht="12.75" customHeight="1">
      <c r="A66" s="309"/>
      <c r="B66" s="438" t="s">
        <v>1041</v>
      </c>
      <c r="C66" s="441" t="s">
        <v>1042</v>
      </c>
      <c r="D66" s="444" t="s">
        <v>1043</v>
      </c>
      <c r="E66" s="358" t="s">
        <v>982</v>
      </c>
      <c r="F66" s="358">
        <v>11517</v>
      </c>
      <c r="G66" s="358"/>
      <c r="H66" s="358"/>
      <c r="I66" s="358"/>
      <c r="J66" s="358"/>
      <c r="K66" s="358"/>
      <c r="L66" s="359">
        <f aca="true" t="shared" si="1" ref="L66:L95">SUM(F66:K66)</f>
        <v>11517</v>
      </c>
      <c r="M66" s="453" t="s">
        <v>1044</v>
      </c>
    </row>
    <row r="67" spans="1:13" s="312" customFormat="1" ht="12.75" customHeight="1">
      <c r="A67" s="309"/>
      <c r="B67" s="439"/>
      <c r="C67" s="442"/>
      <c r="D67" s="445"/>
      <c r="E67" s="360" t="s">
        <v>984</v>
      </c>
      <c r="F67" s="360">
        <v>11517</v>
      </c>
      <c r="G67" s="360"/>
      <c r="H67" s="360"/>
      <c r="I67" s="360"/>
      <c r="J67" s="360"/>
      <c r="K67" s="360"/>
      <c r="L67" s="361">
        <f t="shared" si="1"/>
        <v>11517</v>
      </c>
      <c r="M67" s="454"/>
    </row>
    <row r="68" spans="1:13" s="312" customFormat="1" ht="12.75" customHeight="1" thickBot="1">
      <c r="A68" s="309"/>
      <c r="B68" s="440"/>
      <c r="C68" s="443"/>
      <c r="D68" s="446"/>
      <c r="E68" s="362" t="s">
        <v>985</v>
      </c>
      <c r="F68" s="362">
        <v>0</v>
      </c>
      <c r="G68" s="362"/>
      <c r="H68" s="362"/>
      <c r="I68" s="362"/>
      <c r="J68" s="362"/>
      <c r="K68" s="362"/>
      <c r="L68" s="363">
        <f t="shared" si="1"/>
        <v>0</v>
      </c>
      <c r="M68" s="455"/>
    </row>
    <row r="69" spans="1:13" s="312" customFormat="1" ht="12.75" customHeight="1">
      <c r="A69" s="309"/>
      <c r="B69" s="438" t="s">
        <v>1045</v>
      </c>
      <c r="C69" s="456" t="s">
        <v>862</v>
      </c>
      <c r="D69" s="444" t="s">
        <v>1046</v>
      </c>
      <c r="E69" s="358" t="s">
        <v>982</v>
      </c>
      <c r="F69" s="358">
        <v>29156</v>
      </c>
      <c r="G69" s="358">
        <v>7735</v>
      </c>
      <c r="H69" s="358">
        <v>83</v>
      </c>
      <c r="I69" s="358"/>
      <c r="J69" s="358"/>
      <c r="K69" s="358"/>
      <c r="L69" s="359">
        <f t="shared" si="1"/>
        <v>36974</v>
      </c>
      <c r="M69" s="453" t="s">
        <v>1047</v>
      </c>
    </row>
    <row r="70" spans="1:13" s="312" customFormat="1" ht="12.75" customHeight="1">
      <c r="A70" s="309"/>
      <c r="B70" s="439"/>
      <c r="C70" s="457"/>
      <c r="D70" s="445"/>
      <c r="E70" s="360" t="s">
        <v>984</v>
      </c>
      <c r="F70" s="360">
        <v>29156</v>
      </c>
      <c r="G70" s="360">
        <v>7735</v>
      </c>
      <c r="H70" s="360">
        <v>83</v>
      </c>
      <c r="I70" s="360"/>
      <c r="J70" s="360"/>
      <c r="K70" s="360"/>
      <c r="L70" s="361">
        <f t="shared" si="1"/>
        <v>36974</v>
      </c>
      <c r="M70" s="454"/>
    </row>
    <row r="71" spans="1:13" s="312" customFormat="1" ht="12.75" customHeight="1" thickBot="1">
      <c r="A71" s="309"/>
      <c r="B71" s="440"/>
      <c r="C71" s="458"/>
      <c r="D71" s="446"/>
      <c r="E71" s="362" t="s">
        <v>985</v>
      </c>
      <c r="F71" s="362">
        <v>0</v>
      </c>
      <c r="G71" s="362">
        <v>0</v>
      </c>
      <c r="H71" s="362">
        <v>0</v>
      </c>
      <c r="I71" s="362"/>
      <c r="J71" s="362"/>
      <c r="K71" s="362"/>
      <c r="L71" s="363">
        <f t="shared" si="1"/>
        <v>0</v>
      </c>
      <c r="M71" s="455"/>
    </row>
    <row r="72" spans="1:13" s="312" customFormat="1" ht="12.75" customHeight="1">
      <c r="A72" s="309"/>
      <c r="B72" s="438" t="s">
        <v>1048</v>
      </c>
      <c r="C72" s="441" t="s">
        <v>1049</v>
      </c>
      <c r="D72" s="444" t="s">
        <v>1019</v>
      </c>
      <c r="E72" s="358" t="s">
        <v>982</v>
      </c>
      <c r="F72" s="358"/>
      <c r="G72" s="358"/>
      <c r="H72" s="358">
        <v>11680</v>
      </c>
      <c r="I72" s="358"/>
      <c r="J72" s="358"/>
      <c r="K72" s="358"/>
      <c r="L72" s="359">
        <f t="shared" si="1"/>
        <v>11680</v>
      </c>
      <c r="M72" s="447" t="s">
        <v>1050</v>
      </c>
    </row>
    <row r="73" spans="1:13" s="312" customFormat="1" ht="12.75" customHeight="1">
      <c r="A73" s="309"/>
      <c r="B73" s="439"/>
      <c r="C73" s="442"/>
      <c r="D73" s="445"/>
      <c r="E73" s="360" t="s">
        <v>984</v>
      </c>
      <c r="F73" s="360"/>
      <c r="G73" s="360"/>
      <c r="H73" s="360">
        <v>2595</v>
      </c>
      <c r="I73" s="360"/>
      <c r="J73" s="360"/>
      <c r="K73" s="360"/>
      <c r="L73" s="361">
        <f t="shared" si="1"/>
        <v>2595</v>
      </c>
      <c r="M73" s="448"/>
    </row>
    <row r="74" spans="1:13" s="312" customFormat="1" ht="12.75" customHeight="1" thickBot="1">
      <c r="A74" s="309"/>
      <c r="B74" s="440"/>
      <c r="C74" s="443"/>
      <c r="D74" s="446"/>
      <c r="E74" s="362" t="s">
        <v>985</v>
      </c>
      <c r="F74" s="362"/>
      <c r="G74" s="362"/>
      <c r="H74" s="362">
        <f>H72-H73</f>
        <v>9085</v>
      </c>
      <c r="I74" s="362"/>
      <c r="J74" s="362"/>
      <c r="K74" s="362"/>
      <c r="L74" s="363">
        <f t="shared" si="1"/>
        <v>9085</v>
      </c>
      <c r="M74" s="449"/>
    </row>
    <row r="75" spans="1:13" s="312" customFormat="1" ht="12.75" customHeight="1">
      <c r="A75" s="309"/>
      <c r="B75" s="462"/>
      <c r="C75" s="463" t="s">
        <v>895</v>
      </c>
      <c r="D75" s="464" t="s">
        <v>896</v>
      </c>
      <c r="E75" s="371" t="s">
        <v>982</v>
      </c>
      <c r="F75" s="371"/>
      <c r="G75" s="371"/>
      <c r="H75" s="371">
        <v>-38812</v>
      </c>
      <c r="I75" s="371"/>
      <c r="J75" s="371"/>
      <c r="K75" s="371"/>
      <c r="L75" s="372">
        <f t="shared" si="1"/>
        <v>-38812</v>
      </c>
      <c r="M75" s="465" t="s">
        <v>1051</v>
      </c>
    </row>
    <row r="76" spans="1:13" s="312" customFormat="1" ht="12.75" customHeight="1">
      <c r="A76" s="309"/>
      <c r="B76" s="439"/>
      <c r="C76" s="442"/>
      <c r="D76" s="445"/>
      <c r="E76" s="360" t="s">
        <v>984</v>
      </c>
      <c r="F76" s="360"/>
      <c r="G76" s="360"/>
      <c r="H76" s="360">
        <v>-38812</v>
      </c>
      <c r="I76" s="360"/>
      <c r="J76" s="360"/>
      <c r="K76" s="360"/>
      <c r="L76" s="361">
        <f t="shared" si="1"/>
        <v>-38812</v>
      </c>
      <c r="M76" s="448"/>
    </row>
    <row r="77" spans="1:13" s="312" customFormat="1" ht="12.75" customHeight="1" thickBot="1">
      <c r="A77" s="309"/>
      <c r="B77" s="440"/>
      <c r="C77" s="443"/>
      <c r="D77" s="446"/>
      <c r="E77" s="362" t="s">
        <v>985</v>
      </c>
      <c r="F77" s="362"/>
      <c r="G77" s="362"/>
      <c r="H77" s="362">
        <f>H75-H76</f>
        <v>0</v>
      </c>
      <c r="I77" s="362"/>
      <c r="J77" s="362"/>
      <c r="K77" s="362"/>
      <c r="L77" s="363">
        <f t="shared" si="1"/>
        <v>0</v>
      </c>
      <c r="M77" s="449"/>
    </row>
    <row r="78" spans="1:13" s="312" customFormat="1" ht="12.75" customHeight="1">
      <c r="A78" s="309"/>
      <c r="B78" s="438" t="s">
        <v>1052</v>
      </c>
      <c r="C78" s="456" t="s">
        <v>898</v>
      </c>
      <c r="D78" s="444" t="s">
        <v>1053</v>
      </c>
      <c r="E78" s="358" t="s">
        <v>982</v>
      </c>
      <c r="F78" s="358"/>
      <c r="G78" s="358"/>
      <c r="H78" s="358">
        <v>15000</v>
      </c>
      <c r="I78" s="358"/>
      <c r="J78" s="358"/>
      <c r="K78" s="358"/>
      <c r="L78" s="359">
        <f t="shared" si="1"/>
        <v>15000</v>
      </c>
      <c r="M78" s="447" t="s">
        <v>1054</v>
      </c>
    </row>
    <row r="79" spans="1:13" s="312" customFormat="1" ht="12.75" customHeight="1">
      <c r="A79" s="309"/>
      <c r="B79" s="439"/>
      <c r="C79" s="457"/>
      <c r="D79" s="445"/>
      <c r="E79" s="360" t="s">
        <v>984</v>
      </c>
      <c r="F79" s="360"/>
      <c r="G79" s="360"/>
      <c r="H79" s="360">
        <v>0</v>
      </c>
      <c r="I79" s="360"/>
      <c r="J79" s="360"/>
      <c r="K79" s="360"/>
      <c r="L79" s="361">
        <f t="shared" si="1"/>
        <v>0</v>
      </c>
      <c r="M79" s="448"/>
    </row>
    <row r="80" spans="1:13" s="312" customFormat="1" ht="12.75" customHeight="1" thickBot="1">
      <c r="A80" s="309"/>
      <c r="B80" s="440"/>
      <c r="C80" s="458"/>
      <c r="D80" s="446"/>
      <c r="E80" s="362" t="s">
        <v>985</v>
      </c>
      <c r="F80" s="362"/>
      <c r="G80" s="362"/>
      <c r="H80" s="362">
        <f>H78-H79</f>
        <v>15000</v>
      </c>
      <c r="I80" s="362"/>
      <c r="J80" s="362"/>
      <c r="K80" s="362"/>
      <c r="L80" s="363">
        <f t="shared" si="1"/>
        <v>15000</v>
      </c>
      <c r="M80" s="449"/>
    </row>
    <row r="81" spans="1:13" s="312" customFormat="1" ht="12.75" customHeight="1">
      <c r="A81" s="309"/>
      <c r="B81" s="438" t="s">
        <v>1055</v>
      </c>
      <c r="C81" s="456" t="s">
        <v>931</v>
      </c>
      <c r="D81" s="444" t="s">
        <v>1056</v>
      </c>
      <c r="E81" s="358" t="s">
        <v>982</v>
      </c>
      <c r="F81" s="358">
        <v>4093</v>
      </c>
      <c r="G81" s="358">
        <v>1105</v>
      </c>
      <c r="H81" s="358"/>
      <c r="I81" s="358"/>
      <c r="J81" s="358"/>
      <c r="K81" s="358"/>
      <c r="L81" s="359">
        <f t="shared" si="1"/>
        <v>5198</v>
      </c>
      <c r="M81" s="447" t="s">
        <v>1057</v>
      </c>
    </row>
    <row r="82" spans="1:13" s="312" customFormat="1" ht="12.75" customHeight="1">
      <c r="A82" s="309"/>
      <c r="B82" s="439"/>
      <c r="C82" s="457"/>
      <c r="D82" s="445"/>
      <c r="E82" s="360" t="s">
        <v>984</v>
      </c>
      <c r="F82" s="360">
        <v>4093</v>
      </c>
      <c r="G82" s="360">
        <v>1105</v>
      </c>
      <c r="H82" s="360"/>
      <c r="I82" s="360"/>
      <c r="J82" s="360"/>
      <c r="K82" s="360"/>
      <c r="L82" s="361">
        <f t="shared" si="1"/>
        <v>5198</v>
      </c>
      <c r="M82" s="448"/>
    </row>
    <row r="83" spans="1:13" s="312" customFormat="1" ht="12.75" customHeight="1" thickBot="1">
      <c r="A83" s="309"/>
      <c r="B83" s="440"/>
      <c r="C83" s="458"/>
      <c r="D83" s="446"/>
      <c r="E83" s="362" t="s">
        <v>985</v>
      </c>
      <c r="F83" s="362">
        <v>0</v>
      </c>
      <c r="G83" s="362">
        <v>0</v>
      </c>
      <c r="H83" s="362"/>
      <c r="I83" s="362"/>
      <c r="J83" s="362"/>
      <c r="K83" s="362"/>
      <c r="L83" s="363">
        <f t="shared" si="1"/>
        <v>0</v>
      </c>
      <c r="M83" s="449"/>
    </row>
    <row r="84" spans="1:13" s="312" customFormat="1" ht="12.75" customHeight="1">
      <c r="A84" s="309"/>
      <c r="B84" s="438" t="s">
        <v>1058</v>
      </c>
      <c r="C84" s="456" t="s">
        <v>931</v>
      </c>
      <c r="D84" s="444" t="s">
        <v>1059</v>
      </c>
      <c r="E84" s="358" t="s">
        <v>982</v>
      </c>
      <c r="F84" s="358">
        <v>412</v>
      </c>
      <c r="G84" s="358"/>
      <c r="H84" s="358"/>
      <c r="I84" s="358"/>
      <c r="J84" s="358"/>
      <c r="K84" s="358"/>
      <c r="L84" s="359">
        <f t="shared" si="1"/>
        <v>412</v>
      </c>
      <c r="M84" s="453" t="s">
        <v>1060</v>
      </c>
    </row>
    <row r="85" spans="1:13" s="312" customFormat="1" ht="12.75" customHeight="1">
      <c r="A85" s="309"/>
      <c r="B85" s="439"/>
      <c r="C85" s="457"/>
      <c r="D85" s="445"/>
      <c r="E85" s="360" t="s">
        <v>984</v>
      </c>
      <c r="F85" s="360">
        <v>412</v>
      </c>
      <c r="G85" s="360"/>
      <c r="H85" s="360"/>
      <c r="I85" s="360"/>
      <c r="J85" s="360"/>
      <c r="K85" s="360"/>
      <c r="L85" s="361">
        <f t="shared" si="1"/>
        <v>412</v>
      </c>
      <c r="M85" s="454"/>
    </row>
    <row r="86" spans="1:13" s="312" customFormat="1" ht="12.75" customHeight="1" thickBot="1">
      <c r="A86" s="309"/>
      <c r="B86" s="440"/>
      <c r="C86" s="458"/>
      <c r="D86" s="446"/>
      <c r="E86" s="362" t="s">
        <v>985</v>
      </c>
      <c r="F86" s="362">
        <v>0</v>
      </c>
      <c r="G86" s="362"/>
      <c r="H86" s="362"/>
      <c r="I86" s="362"/>
      <c r="J86" s="362"/>
      <c r="K86" s="362"/>
      <c r="L86" s="363">
        <f t="shared" si="1"/>
        <v>0</v>
      </c>
      <c r="M86" s="455"/>
    </row>
    <row r="87" spans="1:13" s="312" customFormat="1" ht="12.75" customHeight="1">
      <c r="A87" s="309"/>
      <c r="B87" s="438" t="s">
        <v>1061</v>
      </c>
      <c r="C87" s="456" t="s">
        <v>931</v>
      </c>
      <c r="D87" s="444" t="s">
        <v>896</v>
      </c>
      <c r="E87" s="358" t="s">
        <v>982</v>
      </c>
      <c r="F87" s="358"/>
      <c r="G87" s="358"/>
      <c r="H87" s="358">
        <v>26000</v>
      </c>
      <c r="I87" s="358"/>
      <c r="J87" s="358"/>
      <c r="K87" s="358"/>
      <c r="L87" s="359">
        <f t="shared" si="1"/>
        <v>26000</v>
      </c>
      <c r="M87" s="453" t="s">
        <v>1062</v>
      </c>
    </row>
    <row r="88" spans="1:13" s="312" customFormat="1" ht="12.75" customHeight="1">
      <c r="A88" s="309"/>
      <c r="B88" s="439"/>
      <c r="C88" s="457"/>
      <c r="D88" s="445"/>
      <c r="E88" s="360" t="s">
        <v>984</v>
      </c>
      <c r="F88" s="360"/>
      <c r="G88" s="360"/>
      <c r="H88" s="360">
        <v>24000</v>
      </c>
      <c r="I88" s="360"/>
      <c r="J88" s="360"/>
      <c r="K88" s="360"/>
      <c r="L88" s="361">
        <f t="shared" si="1"/>
        <v>24000</v>
      </c>
      <c r="M88" s="454"/>
    </row>
    <row r="89" spans="1:13" s="312" customFormat="1" ht="12.75" customHeight="1" thickBot="1">
      <c r="A89" s="309"/>
      <c r="B89" s="440"/>
      <c r="C89" s="458"/>
      <c r="D89" s="446"/>
      <c r="E89" s="362" t="s">
        <v>985</v>
      </c>
      <c r="F89" s="362"/>
      <c r="G89" s="362"/>
      <c r="H89" s="362">
        <f>H87-H88</f>
        <v>2000</v>
      </c>
      <c r="I89" s="362"/>
      <c r="J89" s="362"/>
      <c r="K89" s="362"/>
      <c r="L89" s="363">
        <f t="shared" si="1"/>
        <v>2000</v>
      </c>
      <c r="M89" s="455"/>
    </row>
    <row r="90" spans="1:13" s="312" customFormat="1" ht="12.75" customHeight="1">
      <c r="A90" s="309"/>
      <c r="B90" s="438" t="s">
        <v>1063</v>
      </c>
      <c r="C90" s="456" t="s">
        <v>1064</v>
      </c>
      <c r="D90" s="444" t="s">
        <v>1065</v>
      </c>
      <c r="E90" s="358" t="s">
        <v>982</v>
      </c>
      <c r="F90" s="358">
        <v>29125</v>
      </c>
      <c r="G90" s="358">
        <v>7703</v>
      </c>
      <c r="H90" s="358">
        <v>98</v>
      </c>
      <c r="I90" s="358"/>
      <c r="J90" s="358"/>
      <c r="K90" s="358"/>
      <c r="L90" s="359">
        <f t="shared" si="1"/>
        <v>36926</v>
      </c>
      <c r="M90" s="453" t="s">
        <v>1066</v>
      </c>
    </row>
    <row r="91" spans="1:13" s="312" customFormat="1" ht="12.75" customHeight="1">
      <c r="A91" s="309"/>
      <c r="B91" s="439"/>
      <c r="C91" s="457"/>
      <c r="D91" s="445"/>
      <c r="E91" s="360" t="s">
        <v>984</v>
      </c>
      <c r="F91" s="360">
        <v>29125</v>
      </c>
      <c r="G91" s="360">
        <v>7703</v>
      </c>
      <c r="H91" s="360">
        <v>98</v>
      </c>
      <c r="I91" s="360"/>
      <c r="J91" s="360"/>
      <c r="K91" s="360"/>
      <c r="L91" s="361">
        <f t="shared" si="1"/>
        <v>36926</v>
      </c>
      <c r="M91" s="454"/>
    </row>
    <row r="92" spans="1:13" s="312" customFormat="1" ht="12.75" customHeight="1" thickBot="1">
      <c r="A92" s="309"/>
      <c r="B92" s="440"/>
      <c r="C92" s="458"/>
      <c r="D92" s="446"/>
      <c r="E92" s="362" t="s">
        <v>985</v>
      </c>
      <c r="F92" s="362">
        <v>0</v>
      </c>
      <c r="G92" s="362">
        <v>0</v>
      </c>
      <c r="H92" s="362">
        <v>0</v>
      </c>
      <c r="I92" s="362"/>
      <c r="J92" s="362"/>
      <c r="K92" s="362"/>
      <c r="L92" s="363">
        <f t="shared" si="1"/>
        <v>0</v>
      </c>
      <c r="M92" s="455"/>
    </row>
    <row r="93" spans="1:13" s="312" customFormat="1" ht="12.75" customHeight="1">
      <c r="A93" s="309"/>
      <c r="B93" s="438" t="s">
        <v>1067</v>
      </c>
      <c r="C93" s="456" t="s">
        <v>931</v>
      </c>
      <c r="D93" s="459" t="s">
        <v>949</v>
      </c>
      <c r="E93" s="358" t="s">
        <v>982</v>
      </c>
      <c r="F93" s="358"/>
      <c r="G93" s="358"/>
      <c r="H93" s="358">
        <v>2700</v>
      </c>
      <c r="I93" s="358"/>
      <c r="J93" s="358"/>
      <c r="K93" s="373"/>
      <c r="L93" s="359">
        <f t="shared" si="1"/>
        <v>2700</v>
      </c>
      <c r="M93" s="447" t="s">
        <v>1068</v>
      </c>
    </row>
    <row r="94" spans="1:13" s="312" customFormat="1" ht="12.75" customHeight="1">
      <c r="A94" s="309"/>
      <c r="B94" s="439"/>
      <c r="C94" s="457"/>
      <c r="D94" s="460"/>
      <c r="E94" s="360" t="s">
        <v>984</v>
      </c>
      <c r="F94" s="360"/>
      <c r="G94" s="360"/>
      <c r="H94" s="360">
        <v>0</v>
      </c>
      <c r="I94" s="360"/>
      <c r="J94" s="360"/>
      <c r="K94" s="374"/>
      <c r="L94" s="361">
        <f t="shared" si="1"/>
        <v>0</v>
      </c>
      <c r="M94" s="448"/>
    </row>
    <row r="95" spans="1:13" s="312" customFormat="1" ht="12.75" customHeight="1" thickBot="1">
      <c r="A95" s="309"/>
      <c r="B95" s="440"/>
      <c r="C95" s="458"/>
      <c r="D95" s="461"/>
      <c r="E95" s="362" t="s">
        <v>985</v>
      </c>
      <c r="F95" s="362"/>
      <c r="G95" s="362"/>
      <c r="H95" s="362">
        <v>2700</v>
      </c>
      <c r="I95" s="362"/>
      <c r="J95" s="362"/>
      <c r="K95" s="375"/>
      <c r="L95" s="363">
        <f t="shared" si="1"/>
        <v>2700</v>
      </c>
      <c r="M95" s="449"/>
    </row>
  </sheetData>
  <sheetProtection password="EE36" sheet="1" formatCells="0" formatColumns="0" formatRows="0" insertColumns="0" insertRows="0" insertHyperlinks="0" deleteColumns="0" deleteRows="0" sort="0" autoFilter="0" pivotTables="0"/>
  <mergeCells count="137">
    <mergeCell ref="B84:B86"/>
    <mergeCell ref="C84:C86"/>
    <mergeCell ref="D84:D86"/>
    <mergeCell ref="M84:M86"/>
    <mergeCell ref="B93:B95"/>
    <mergeCell ref="C93:C95"/>
    <mergeCell ref="D93:D95"/>
    <mergeCell ref="M93:M95"/>
    <mergeCell ref="B87:B89"/>
    <mergeCell ref="C87:C89"/>
    <mergeCell ref="D87:D89"/>
    <mergeCell ref="M87:M89"/>
    <mergeCell ref="B90:B92"/>
    <mergeCell ref="C90:C92"/>
    <mergeCell ref="B78:B80"/>
    <mergeCell ref="C78:C80"/>
    <mergeCell ref="D78:D80"/>
    <mergeCell ref="M78:M80"/>
    <mergeCell ref="D90:D92"/>
    <mergeCell ref="M90:M92"/>
    <mergeCell ref="B81:B83"/>
    <mergeCell ref="C81:C83"/>
    <mergeCell ref="D81:D83"/>
    <mergeCell ref="M81:M83"/>
    <mergeCell ref="B72:B74"/>
    <mergeCell ref="C72:C74"/>
    <mergeCell ref="D72:D74"/>
    <mergeCell ref="M72:M74"/>
    <mergeCell ref="B75:B77"/>
    <mergeCell ref="C75:C77"/>
    <mergeCell ref="D75:D77"/>
    <mergeCell ref="M75:M77"/>
    <mergeCell ref="B66:B68"/>
    <mergeCell ref="C66:C68"/>
    <mergeCell ref="D66:D68"/>
    <mergeCell ref="M66:M68"/>
    <mergeCell ref="B69:B71"/>
    <mergeCell ref="C69:C71"/>
    <mergeCell ref="D69:D71"/>
    <mergeCell ref="M69:M71"/>
    <mergeCell ref="B60:B62"/>
    <mergeCell ref="C60:C62"/>
    <mergeCell ref="D60:D62"/>
    <mergeCell ref="M60:M62"/>
    <mergeCell ref="B63:B65"/>
    <mergeCell ref="C63:C65"/>
    <mergeCell ref="D63:D65"/>
    <mergeCell ref="M63:M65"/>
    <mergeCell ref="B54:B56"/>
    <mergeCell ref="C54:C56"/>
    <mergeCell ref="D54:D56"/>
    <mergeCell ref="M54:M56"/>
    <mergeCell ref="B57:B59"/>
    <mergeCell ref="C57:C59"/>
    <mergeCell ref="D57:D59"/>
    <mergeCell ref="M57:M59"/>
    <mergeCell ref="B48:B50"/>
    <mergeCell ref="C48:C50"/>
    <mergeCell ref="D48:D50"/>
    <mergeCell ref="M48:M50"/>
    <mergeCell ref="B51:B53"/>
    <mergeCell ref="C51:C53"/>
    <mergeCell ref="D51:D53"/>
    <mergeCell ref="M51:M53"/>
    <mergeCell ref="B42:B44"/>
    <mergeCell ref="C42:C44"/>
    <mergeCell ref="D42:D44"/>
    <mergeCell ref="M42:M44"/>
    <mergeCell ref="B45:B47"/>
    <mergeCell ref="C45:C47"/>
    <mergeCell ref="D45:D47"/>
    <mergeCell ref="M45:M47"/>
    <mergeCell ref="B36:B38"/>
    <mergeCell ref="C36:C38"/>
    <mergeCell ref="D36:D38"/>
    <mergeCell ref="M36:M38"/>
    <mergeCell ref="B39:B41"/>
    <mergeCell ref="C39:C41"/>
    <mergeCell ref="D39:D41"/>
    <mergeCell ref="M39:M41"/>
    <mergeCell ref="B30:B32"/>
    <mergeCell ref="C30:C32"/>
    <mergeCell ref="D30:D32"/>
    <mergeCell ref="M30:M32"/>
    <mergeCell ref="B33:B35"/>
    <mergeCell ref="C33:C35"/>
    <mergeCell ref="D33:D35"/>
    <mergeCell ref="M33:M35"/>
    <mergeCell ref="B24:B26"/>
    <mergeCell ref="C24:C26"/>
    <mergeCell ref="D24:D26"/>
    <mergeCell ref="M24:M26"/>
    <mergeCell ref="B27:B29"/>
    <mergeCell ref="C27:C29"/>
    <mergeCell ref="D27:D29"/>
    <mergeCell ref="M27:M29"/>
    <mergeCell ref="B18:B20"/>
    <mergeCell ref="C18:C20"/>
    <mergeCell ref="D18:D20"/>
    <mergeCell ref="M18:M20"/>
    <mergeCell ref="B21:B23"/>
    <mergeCell ref="C21:C23"/>
    <mergeCell ref="D21:D23"/>
    <mergeCell ref="M21:M23"/>
    <mergeCell ref="B12:B14"/>
    <mergeCell ref="C12:C14"/>
    <mergeCell ref="D12:D14"/>
    <mergeCell ref="M12:M14"/>
    <mergeCell ref="B15:B17"/>
    <mergeCell ref="C15:C17"/>
    <mergeCell ref="D15:D17"/>
    <mergeCell ref="M15:M17"/>
    <mergeCell ref="B6:B8"/>
    <mergeCell ref="C6:C8"/>
    <mergeCell ref="D6:D8"/>
    <mergeCell ref="M6:M8"/>
    <mergeCell ref="B9:B11"/>
    <mergeCell ref="C9:C11"/>
    <mergeCell ref="D9:D11"/>
    <mergeCell ref="M9:M11"/>
    <mergeCell ref="M1:M2"/>
    <mergeCell ref="G1:G2"/>
    <mergeCell ref="F1:F2"/>
    <mergeCell ref="H1:H2"/>
    <mergeCell ref="I1:I2"/>
    <mergeCell ref="B3:B5"/>
    <mergeCell ref="C3:C5"/>
    <mergeCell ref="D3:D5"/>
    <mergeCell ref="M3:M5"/>
    <mergeCell ref="J1:J2"/>
    <mergeCell ref="K1:K2"/>
    <mergeCell ref="L1:L2"/>
    <mergeCell ref="A1:A2"/>
    <mergeCell ref="B1:B2"/>
    <mergeCell ref="C1:C2"/>
    <mergeCell ref="D1:D2"/>
    <mergeCell ref="E1:E2"/>
  </mergeCells>
  <printOptions horizontalCentered="1"/>
  <pageMargins left="0.2755905511811024" right="0.1968503937007874" top="0.8267716535433072" bottom="0.5905511811023623" header="0.15748031496062992" footer="0"/>
  <pageSetup fitToHeight="2" fitToWidth="1" horizontalDpi="600" verticalDpi="600" orientation="landscape" paperSize="9" scale="64" r:id="rId1"/>
  <headerFooter alignWithMargins="0">
    <oddHeader>&amp;L&amp;"Times New Roman,Normál"&amp;14Mezőgazdasági Szakigazgatási Hivatal&amp;C&amp;"Times New Roman,Félkövér"&amp;16 2010. évi fejezeti pótelőirányzatok felhasználásának összefoglalása
&amp;R&amp;"Times New Roman,Normál"&amp;20 3/a. sz. melléklet
Adatok ezer Ft-ban
</oddHeader>
    <oddFooter>&amp;L&amp;"Times New Roman,Normál"&amp;14Budapest, 2011. március 30.</oddFooter>
  </headerFooter>
  <rowBreaks count="1" manualBreakCount="1">
    <brk id="53" max="11" man="1"/>
  </rowBreaks>
</worksheet>
</file>

<file path=xl/worksheets/sheet5.xml><?xml version="1.0" encoding="utf-8"?>
<worksheet xmlns="http://schemas.openxmlformats.org/spreadsheetml/2006/main" xmlns:r="http://schemas.openxmlformats.org/officeDocument/2006/relationships">
  <sheetPr>
    <pageSetUpPr fitToPage="1"/>
  </sheetPr>
  <dimension ref="A1:Y41"/>
  <sheetViews>
    <sheetView zoomScale="84" zoomScaleNormal="84" zoomScalePageLayoutView="0" workbookViewId="0" topLeftCell="B1">
      <pane xSplit="4" ySplit="2" topLeftCell="M18" activePane="bottomRight" state="frozen"/>
      <selection pane="topLeft" activeCell="F25" sqref="F25"/>
      <selection pane="topRight" activeCell="F25" sqref="F25"/>
      <selection pane="bottomLeft" activeCell="F25" sqref="F25"/>
      <selection pane="bottomRight" activeCell="F25" sqref="F25"/>
    </sheetView>
  </sheetViews>
  <sheetFormatPr defaultColWidth="9.140625" defaultRowHeight="12.75"/>
  <cols>
    <col min="1" max="1" width="0.13671875" style="327" customWidth="1"/>
    <col min="2" max="2" width="19.421875" style="327" bestFit="1" customWidth="1"/>
    <col min="3" max="3" width="6.140625" style="376" bestFit="1" customWidth="1"/>
    <col min="4" max="4" width="23.7109375" style="377" customWidth="1"/>
    <col min="5" max="5" width="24.28125" style="327" bestFit="1" customWidth="1"/>
    <col min="6" max="6" width="9.421875" style="327" bestFit="1" customWidth="1"/>
    <col min="7" max="8" width="8.7109375" style="327" customWidth="1"/>
    <col min="9" max="9" width="8.421875" style="327" customWidth="1"/>
    <col min="10" max="10" width="9.57421875" style="327" customWidth="1"/>
    <col min="11" max="15" width="8.7109375" style="327" customWidth="1"/>
    <col min="16" max="16" width="96.28125" style="378" customWidth="1"/>
    <col min="17" max="16384" width="9.140625" style="327" customWidth="1"/>
  </cols>
  <sheetData>
    <row r="1" spans="1:16" s="355" customFormat="1" ht="16.5" customHeight="1">
      <c r="A1" s="432" t="s">
        <v>548</v>
      </c>
      <c r="B1" s="434" t="s">
        <v>549</v>
      </c>
      <c r="C1" s="430" t="s">
        <v>550</v>
      </c>
      <c r="D1" s="430" t="s">
        <v>187</v>
      </c>
      <c r="E1" s="430"/>
      <c r="F1" s="430" t="s">
        <v>553</v>
      </c>
      <c r="G1" s="430" t="s">
        <v>554</v>
      </c>
      <c r="H1" s="430" t="s">
        <v>555</v>
      </c>
      <c r="I1" s="430" t="s">
        <v>977</v>
      </c>
      <c r="J1" s="430" t="s">
        <v>978</v>
      </c>
      <c r="K1" s="430" t="s">
        <v>562</v>
      </c>
      <c r="L1" s="430" t="s">
        <v>75</v>
      </c>
      <c r="M1" s="430" t="s">
        <v>565</v>
      </c>
      <c r="N1" s="466" t="s">
        <v>1069</v>
      </c>
      <c r="O1" s="467"/>
      <c r="P1" s="436" t="s">
        <v>1070</v>
      </c>
    </row>
    <row r="2" spans="1:16" s="356" customFormat="1" ht="60" customHeight="1" thickBot="1">
      <c r="A2" s="433"/>
      <c r="B2" s="435"/>
      <c r="C2" s="431"/>
      <c r="D2" s="431"/>
      <c r="E2" s="431"/>
      <c r="F2" s="431"/>
      <c r="G2" s="431"/>
      <c r="H2" s="431"/>
      <c r="I2" s="431"/>
      <c r="J2" s="431"/>
      <c r="K2" s="431"/>
      <c r="L2" s="431"/>
      <c r="M2" s="431"/>
      <c r="N2" s="379" t="s">
        <v>1071</v>
      </c>
      <c r="O2" s="379" t="s">
        <v>1072</v>
      </c>
      <c r="P2" s="437"/>
    </row>
    <row r="3" spans="1:16" s="312" customFormat="1" ht="12.75">
      <c r="A3" s="357"/>
      <c r="B3" s="438" t="s">
        <v>593</v>
      </c>
      <c r="C3" s="441" t="s">
        <v>1073</v>
      </c>
      <c r="D3" s="444" t="s">
        <v>595</v>
      </c>
      <c r="E3" s="358" t="s">
        <v>982</v>
      </c>
      <c r="F3" s="358"/>
      <c r="G3" s="358"/>
      <c r="H3" s="358">
        <v>5000</v>
      </c>
      <c r="I3" s="358"/>
      <c r="J3" s="358"/>
      <c r="K3" s="358">
        <v>2000</v>
      </c>
      <c r="L3" s="358"/>
      <c r="M3" s="359">
        <f aca="true" t="shared" si="0" ref="M3:M41">SUM(F3:L3)</f>
        <v>7000</v>
      </c>
      <c r="N3" s="359">
        <f>M3</f>
        <v>7000</v>
      </c>
      <c r="O3" s="380"/>
      <c r="P3" s="447" t="s">
        <v>1074</v>
      </c>
    </row>
    <row r="4" spans="1:16" s="312" customFormat="1" ht="12.75" customHeight="1">
      <c r="A4" s="309"/>
      <c r="B4" s="439"/>
      <c r="C4" s="442"/>
      <c r="D4" s="445"/>
      <c r="E4" s="360" t="s">
        <v>984</v>
      </c>
      <c r="F4" s="360"/>
      <c r="G4" s="360"/>
      <c r="H4" s="360">
        <v>5000</v>
      </c>
      <c r="I4" s="360"/>
      <c r="J4" s="360"/>
      <c r="K4" s="360">
        <v>2000</v>
      </c>
      <c r="L4" s="360"/>
      <c r="M4" s="361">
        <f t="shared" si="0"/>
        <v>7000</v>
      </c>
      <c r="N4" s="361">
        <f aca="true" t="shared" si="1" ref="N4:N29">M4</f>
        <v>7000</v>
      </c>
      <c r="O4" s="381"/>
      <c r="P4" s="448"/>
    </row>
    <row r="5" spans="1:16" s="312" customFormat="1" ht="12.75" customHeight="1" thickBot="1">
      <c r="A5" s="309"/>
      <c r="B5" s="440"/>
      <c r="C5" s="443"/>
      <c r="D5" s="446"/>
      <c r="E5" s="362" t="s">
        <v>985</v>
      </c>
      <c r="F5" s="362"/>
      <c r="G5" s="362"/>
      <c r="H5" s="362">
        <v>0</v>
      </c>
      <c r="I5" s="362"/>
      <c r="J5" s="362"/>
      <c r="K5" s="362">
        <v>0</v>
      </c>
      <c r="L5" s="362"/>
      <c r="M5" s="363">
        <f t="shared" si="0"/>
        <v>0</v>
      </c>
      <c r="N5" s="363">
        <f t="shared" si="1"/>
        <v>0</v>
      </c>
      <c r="O5" s="382"/>
      <c r="P5" s="449"/>
    </row>
    <row r="6" spans="1:16" s="312" customFormat="1" ht="12.75">
      <c r="A6" s="357"/>
      <c r="B6" s="438" t="s">
        <v>593</v>
      </c>
      <c r="C6" s="441" t="s">
        <v>1073</v>
      </c>
      <c r="D6" s="444" t="s">
        <v>596</v>
      </c>
      <c r="E6" s="358" t="s">
        <v>982</v>
      </c>
      <c r="F6" s="358"/>
      <c r="G6" s="358"/>
      <c r="H6" s="358"/>
      <c r="I6" s="358"/>
      <c r="J6" s="358"/>
      <c r="K6" s="358">
        <v>100000</v>
      </c>
      <c r="L6" s="358">
        <v>27391</v>
      </c>
      <c r="M6" s="359">
        <f t="shared" si="0"/>
        <v>127391</v>
      </c>
      <c r="N6" s="359">
        <f>M6</f>
        <v>127391</v>
      </c>
      <c r="O6" s="380"/>
      <c r="P6" s="447" t="s">
        <v>1075</v>
      </c>
    </row>
    <row r="7" spans="1:16" s="312" customFormat="1" ht="12.75" customHeight="1">
      <c r="A7" s="309"/>
      <c r="B7" s="439"/>
      <c r="C7" s="442"/>
      <c r="D7" s="445"/>
      <c r="E7" s="360" t="s">
        <v>984</v>
      </c>
      <c r="F7" s="360"/>
      <c r="G7" s="360"/>
      <c r="H7" s="360"/>
      <c r="I7" s="360"/>
      <c r="J7" s="360"/>
      <c r="K7" s="360">
        <v>100000</v>
      </c>
      <c r="L7" s="360">
        <v>27391</v>
      </c>
      <c r="M7" s="361">
        <f t="shared" si="0"/>
        <v>127391</v>
      </c>
      <c r="N7" s="361">
        <f t="shared" si="1"/>
        <v>127391</v>
      </c>
      <c r="O7" s="381"/>
      <c r="P7" s="448"/>
    </row>
    <row r="8" spans="1:16" s="312" customFormat="1" ht="12.75" customHeight="1" thickBot="1">
      <c r="A8" s="309"/>
      <c r="B8" s="440"/>
      <c r="C8" s="443"/>
      <c r="D8" s="446"/>
      <c r="E8" s="362" t="s">
        <v>985</v>
      </c>
      <c r="F8" s="362"/>
      <c r="G8" s="362"/>
      <c r="H8" s="362"/>
      <c r="I8" s="362"/>
      <c r="J8" s="362"/>
      <c r="K8" s="362"/>
      <c r="L8" s="362"/>
      <c r="M8" s="363">
        <f t="shared" si="0"/>
        <v>0</v>
      </c>
      <c r="N8" s="363">
        <f t="shared" si="1"/>
        <v>0</v>
      </c>
      <c r="O8" s="382"/>
      <c r="P8" s="449"/>
    </row>
    <row r="9" spans="1:16" s="312" customFormat="1" ht="12.75">
      <c r="A9" s="357"/>
      <c r="B9" s="438" t="s">
        <v>1076</v>
      </c>
      <c r="C9" s="468" t="s">
        <v>1077</v>
      </c>
      <c r="D9" s="444" t="s">
        <v>597</v>
      </c>
      <c r="E9" s="358" t="s">
        <v>982</v>
      </c>
      <c r="F9" s="358"/>
      <c r="G9" s="358"/>
      <c r="H9" s="358">
        <v>2621</v>
      </c>
      <c r="I9" s="358"/>
      <c r="J9" s="358"/>
      <c r="K9" s="358">
        <v>2379</v>
      </c>
      <c r="L9" s="358"/>
      <c r="M9" s="359">
        <f t="shared" si="0"/>
        <v>5000</v>
      </c>
      <c r="N9" s="359">
        <f>M9</f>
        <v>5000</v>
      </c>
      <c r="O9" s="380"/>
      <c r="P9" s="447" t="s">
        <v>1078</v>
      </c>
    </row>
    <row r="10" spans="1:16" s="312" customFormat="1" ht="12.75" customHeight="1">
      <c r="A10" s="309"/>
      <c r="B10" s="439"/>
      <c r="C10" s="442"/>
      <c r="D10" s="445"/>
      <c r="E10" s="360" t="s">
        <v>984</v>
      </c>
      <c r="F10" s="360"/>
      <c r="G10" s="360"/>
      <c r="H10" s="360">
        <v>2621</v>
      </c>
      <c r="I10" s="360"/>
      <c r="J10" s="360"/>
      <c r="K10" s="360">
        <v>2379</v>
      </c>
      <c r="L10" s="360"/>
      <c r="M10" s="361">
        <f t="shared" si="0"/>
        <v>5000</v>
      </c>
      <c r="N10" s="361">
        <f t="shared" si="1"/>
        <v>5000</v>
      </c>
      <c r="O10" s="381"/>
      <c r="P10" s="448"/>
    </row>
    <row r="11" spans="1:16" s="312" customFormat="1" ht="12.75" customHeight="1" thickBot="1">
      <c r="A11" s="309"/>
      <c r="B11" s="440"/>
      <c r="C11" s="443"/>
      <c r="D11" s="446"/>
      <c r="E11" s="362" t="s">
        <v>985</v>
      </c>
      <c r="F11" s="362"/>
      <c r="G11" s="362"/>
      <c r="H11" s="362">
        <v>0</v>
      </c>
      <c r="I11" s="362"/>
      <c r="J11" s="362"/>
      <c r="K11" s="362">
        <v>0</v>
      </c>
      <c r="L11" s="362"/>
      <c r="M11" s="363">
        <f t="shared" si="0"/>
        <v>0</v>
      </c>
      <c r="N11" s="363">
        <f t="shared" si="1"/>
        <v>0</v>
      </c>
      <c r="O11" s="382"/>
      <c r="P11" s="449"/>
    </row>
    <row r="12" spans="1:16" s="312" customFormat="1" ht="12.75">
      <c r="A12" s="357"/>
      <c r="B12" s="438" t="s">
        <v>593</v>
      </c>
      <c r="C12" s="441" t="s">
        <v>1073</v>
      </c>
      <c r="D12" s="444" t="s">
        <v>1079</v>
      </c>
      <c r="E12" s="358" t="s">
        <v>982</v>
      </c>
      <c r="F12" s="358"/>
      <c r="G12" s="358"/>
      <c r="H12" s="358">
        <v>21903</v>
      </c>
      <c r="I12" s="358"/>
      <c r="J12" s="358"/>
      <c r="K12" s="358"/>
      <c r="L12" s="358"/>
      <c r="M12" s="359">
        <f t="shared" si="0"/>
        <v>21903</v>
      </c>
      <c r="N12" s="359">
        <f>M12</f>
        <v>21903</v>
      </c>
      <c r="O12" s="380"/>
      <c r="P12" s="447" t="s">
        <v>1080</v>
      </c>
    </row>
    <row r="13" spans="1:16" s="312" customFormat="1" ht="12.75" customHeight="1">
      <c r="A13" s="309"/>
      <c r="B13" s="439"/>
      <c r="C13" s="442"/>
      <c r="D13" s="445"/>
      <c r="E13" s="360" t="s">
        <v>984</v>
      </c>
      <c r="F13" s="360"/>
      <c r="G13" s="360"/>
      <c r="H13" s="360">
        <v>21903</v>
      </c>
      <c r="I13" s="360"/>
      <c r="J13" s="360"/>
      <c r="K13" s="360"/>
      <c r="L13" s="360"/>
      <c r="M13" s="361">
        <f t="shared" si="0"/>
        <v>21903</v>
      </c>
      <c r="N13" s="361">
        <f t="shared" si="1"/>
        <v>21903</v>
      </c>
      <c r="O13" s="381"/>
      <c r="P13" s="448"/>
    </row>
    <row r="14" spans="1:16" s="312" customFormat="1" ht="12.75" customHeight="1" thickBot="1">
      <c r="A14" s="309"/>
      <c r="B14" s="440"/>
      <c r="C14" s="443"/>
      <c r="D14" s="446"/>
      <c r="E14" s="362" t="s">
        <v>985</v>
      </c>
      <c r="F14" s="362"/>
      <c r="G14" s="362"/>
      <c r="H14" s="362"/>
      <c r="I14" s="362"/>
      <c r="J14" s="362"/>
      <c r="K14" s="362"/>
      <c r="L14" s="362"/>
      <c r="M14" s="363">
        <f t="shared" si="0"/>
        <v>0</v>
      </c>
      <c r="N14" s="363">
        <f t="shared" si="1"/>
        <v>0</v>
      </c>
      <c r="O14" s="382"/>
      <c r="P14" s="449"/>
    </row>
    <row r="15" spans="1:16" s="312" customFormat="1" ht="12.75">
      <c r="A15" s="357"/>
      <c r="B15" s="438" t="s">
        <v>593</v>
      </c>
      <c r="C15" s="441" t="s">
        <v>1073</v>
      </c>
      <c r="D15" s="444" t="s">
        <v>600</v>
      </c>
      <c r="E15" s="358" t="s">
        <v>982</v>
      </c>
      <c r="F15" s="358"/>
      <c r="G15" s="358"/>
      <c r="H15" s="358"/>
      <c r="I15" s="358">
        <v>13669</v>
      </c>
      <c r="J15" s="358"/>
      <c r="K15" s="358"/>
      <c r="L15" s="358"/>
      <c r="M15" s="359">
        <f t="shared" si="0"/>
        <v>13669</v>
      </c>
      <c r="N15" s="359">
        <f>M15</f>
        <v>13669</v>
      </c>
      <c r="O15" s="380"/>
      <c r="P15" s="447" t="s">
        <v>1081</v>
      </c>
    </row>
    <row r="16" spans="1:16" s="312" customFormat="1" ht="12.75" customHeight="1">
      <c r="A16" s="309"/>
      <c r="B16" s="439"/>
      <c r="C16" s="442"/>
      <c r="D16" s="445"/>
      <c r="E16" s="360" t="s">
        <v>984</v>
      </c>
      <c r="F16" s="360"/>
      <c r="G16" s="360"/>
      <c r="H16" s="360"/>
      <c r="I16" s="360">
        <v>7223</v>
      </c>
      <c r="J16" s="360"/>
      <c r="K16" s="360"/>
      <c r="L16" s="360"/>
      <c r="M16" s="361">
        <f t="shared" si="0"/>
        <v>7223</v>
      </c>
      <c r="N16" s="361">
        <f t="shared" si="1"/>
        <v>7223</v>
      </c>
      <c r="O16" s="381"/>
      <c r="P16" s="448"/>
    </row>
    <row r="17" spans="1:16" s="312" customFormat="1" ht="12.75" customHeight="1" thickBot="1">
      <c r="A17" s="309"/>
      <c r="B17" s="440"/>
      <c r="C17" s="443"/>
      <c r="D17" s="446"/>
      <c r="E17" s="362" t="s">
        <v>985</v>
      </c>
      <c r="F17" s="362"/>
      <c r="G17" s="362"/>
      <c r="H17" s="362"/>
      <c r="I17" s="362">
        <f>I15-I16</f>
        <v>6446</v>
      </c>
      <c r="J17" s="362"/>
      <c r="K17" s="362"/>
      <c r="L17" s="362"/>
      <c r="M17" s="363">
        <f t="shared" si="0"/>
        <v>6446</v>
      </c>
      <c r="N17" s="363">
        <f t="shared" si="1"/>
        <v>6446</v>
      </c>
      <c r="O17" s="382"/>
      <c r="P17" s="449"/>
    </row>
    <row r="18" spans="1:16" s="312" customFormat="1" ht="12.75">
      <c r="A18" s="357"/>
      <c r="B18" s="438" t="s">
        <v>679</v>
      </c>
      <c r="C18" s="441" t="s">
        <v>665</v>
      </c>
      <c r="D18" s="444" t="s">
        <v>1082</v>
      </c>
      <c r="E18" s="358" t="s">
        <v>982</v>
      </c>
      <c r="F18" s="358"/>
      <c r="G18" s="358"/>
      <c r="H18" s="358">
        <v>250000</v>
      </c>
      <c r="I18" s="358"/>
      <c r="J18" s="358"/>
      <c r="K18" s="358"/>
      <c r="L18" s="358"/>
      <c r="M18" s="359">
        <f t="shared" si="0"/>
        <v>250000</v>
      </c>
      <c r="N18" s="359">
        <f>M18</f>
        <v>250000</v>
      </c>
      <c r="O18" s="380"/>
      <c r="P18" s="447" t="s">
        <v>1083</v>
      </c>
    </row>
    <row r="19" spans="1:16" s="312" customFormat="1" ht="12.75" customHeight="1">
      <c r="A19" s="309"/>
      <c r="B19" s="439"/>
      <c r="C19" s="442"/>
      <c r="D19" s="445"/>
      <c r="E19" s="360" t="s">
        <v>984</v>
      </c>
      <c r="F19" s="360"/>
      <c r="G19" s="360"/>
      <c r="H19" s="360">
        <f>H18</f>
        <v>250000</v>
      </c>
      <c r="I19" s="360"/>
      <c r="J19" s="360"/>
      <c r="K19" s="360"/>
      <c r="L19" s="360"/>
      <c r="M19" s="361">
        <f t="shared" si="0"/>
        <v>250000</v>
      </c>
      <c r="N19" s="361">
        <f t="shared" si="1"/>
        <v>250000</v>
      </c>
      <c r="O19" s="381"/>
      <c r="P19" s="448"/>
    </row>
    <row r="20" spans="1:16" s="312" customFormat="1" ht="12.75" customHeight="1" thickBot="1">
      <c r="A20" s="309"/>
      <c r="B20" s="440"/>
      <c r="C20" s="443"/>
      <c r="D20" s="446"/>
      <c r="E20" s="362" t="s">
        <v>985</v>
      </c>
      <c r="F20" s="362"/>
      <c r="G20" s="362"/>
      <c r="H20" s="362">
        <f>H18-H19</f>
        <v>0</v>
      </c>
      <c r="I20" s="362"/>
      <c r="J20" s="362"/>
      <c r="K20" s="362"/>
      <c r="L20" s="362"/>
      <c r="M20" s="363">
        <f t="shared" si="0"/>
        <v>0</v>
      </c>
      <c r="N20" s="363">
        <f t="shared" si="1"/>
        <v>0</v>
      </c>
      <c r="O20" s="382"/>
      <c r="P20" s="449"/>
    </row>
    <row r="21" spans="1:16" s="312" customFormat="1" ht="12.75">
      <c r="A21" s="357"/>
      <c r="B21" s="438" t="s">
        <v>679</v>
      </c>
      <c r="C21" s="441" t="s">
        <v>665</v>
      </c>
      <c r="D21" s="444" t="s">
        <v>1084</v>
      </c>
      <c r="E21" s="358" t="s">
        <v>982</v>
      </c>
      <c r="F21" s="358">
        <v>1515</v>
      </c>
      <c r="G21" s="358">
        <v>485</v>
      </c>
      <c r="H21" s="358">
        <v>3000</v>
      </c>
      <c r="I21" s="358"/>
      <c r="J21" s="358"/>
      <c r="K21" s="358"/>
      <c r="L21" s="358"/>
      <c r="M21" s="359">
        <f t="shared" si="0"/>
        <v>5000</v>
      </c>
      <c r="N21" s="359">
        <f>M21</f>
        <v>5000</v>
      </c>
      <c r="O21" s="380"/>
      <c r="P21" s="447" t="s">
        <v>1085</v>
      </c>
    </row>
    <row r="22" spans="1:16" s="312" customFormat="1" ht="12.75" customHeight="1">
      <c r="A22" s="309"/>
      <c r="B22" s="439"/>
      <c r="C22" s="442"/>
      <c r="D22" s="445"/>
      <c r="E22" s="360" t="s">
        <v>984</v>
      </c>
      <c r="F22" s="360">
        <f>F21</f>
        <v>1515</v>
      </c>
      <c r="G22" s="360">
        <f>G21</f>
        <v>485</v>
      </c>
      <c r="H22" s="360">
        <f>H21</f>
        <v>3000</v>
      </c>
      <c r="I22" s="360"/>
      <c r="J22" s="360"/>
      <c r="K22" s="360"/>
      <c r="L22" s="360"/>
      <c r="M22" s="361">
        <f t="shared" si="0"/>
        <v>5000</v>
      </c>
      <c r="N22" s="361">
        <f t="shared" si="1"/>
        <v>5000</v>
      </c>
      <c r="O22" s="381"/>
      <c r="P22" s="448"/>
    </row>
    <row r="23" spans="1:16" s="312" customFormat="1" ht="12.75" customHeight="1" thickBot="1">
      <c r="A23" s="309"/>
      <c r="B23" s="440"/>
      <c r="C23" s="443"/>
      <c r="D23" s="446"/>
      <c r="E23" s="362" t="s">
        <v>985</v>
      </c>
      <c r="F23" s="362">
        <f>F21-F22</f>
        <v>0</v>
      </c>
      <c r="G23" s="362">
        <f>G21-G22</f>
        <v>0</v>
      </c>
      <c r="H23" s="362">
        <f>H21-H22</f>
        <v>0</v>
      </c>
      <c r="I23" s="362"/>
      <c r="J23" s="362"/>
      <c r="K23" s="362"/>
      <c r="L23" s="362"/>
      <c r="M23" s="363">
        <f t="shared" si="0"/>
        <v>0</v>
      </c>
      <c r="N23" s="363">
        <f t="shared" si="1"/>
        <v>0</v>
      </c>
      <c r="O23" s="382"/>
      <c r="P23" s="449"/>
    </row>
    <row r="24" spans="1:16" s="312" customFormat="1" ht="12.75">
      <c r="A24" s="357"/>
      <c r="B24" s="438" t="s">
        <v>1086</v>
      </c>
      <c r="C24" s="468" t="s">
        <v>1087</v>
      </c>
      <c r="D24" s="444" t="s">
        <v>595</v>
      </c>
      <c r="E24" s="358" t="s">
        <v>982</v>
      </c>
      <c r="F24" s="358"/>
      <c r="G24" s="358"/>
      <c r="H24" s="358">
        <v>1647</v>
      </c>
      <c r="I24" s="358">
        <v>5000</v>
      </c>
      <c r="J24" s="358"/>
      <c r="K24" s="358">
        <v>3353</v>
      </c>
      <c r="L24" s="358"/>
      <c r="M24" s="359">
        <f t="shared" si="0"/>
        <v>10000</v>
      </c>
      <c r="N24" s="359">
        <f>M24</f>
        <v>10000</v>
      </c>
      <c r="O24" s="380"/>
      <c r="P24" s="447" t="s">
        <v>1088</v>
      </c>
    </row>
    <row r="25" spans="1:16" s="312" customFormat="1" ht="12.75" customHeight="1">
      <c r="A25" s="309"/>
      <c r="B25" s="439"/>
      <c r="C25" s="442"/>
      <c r="D25" s="445"/>
      <c r="E25" s="360" t="s">
        <v>984</v>
      </c>
      <c r="F25" s="360"/>
      <c r="G25" s="360"/>
      <c r="H25" s="360">
        <f>H24</f>
        <v>1647</v>
      </c>
      <c r="I25" s="360">
        <f>I24</f>
        <v>5000</v>
      </c>
      <c r="J25" s="360"/>
      <c r="K25" s="360">
        <f>K24</f>
        <v>3353</v>
      </c>
      <c r="L25" s="360"/>
      <c r="M25" s="361">
        <f t="shared" si="0"/>
        <v>10000</v>
      </c>
      <c r="N25" s="361">
        <f t="shared" si="1"/>
        <v>10000</v>
      </c>
      <c r="O25" s="381"/>
      <c r="P25" s="448"/>
    </row>
    <row r="26" spans="1:16" s="312" customFormat="1" ht="12.75" customHeight="1" thickBot="1">
      <c r="A26" s="309"/>
      <c r="B26" s="440"/>
      <c r="C26" s="443"/>
      <c r="D26" s="446"/>
      <c r="E26" s="362" t="s">
        <v>985</v>
      </c>
      <c r="F26" s="362"/>
      <c r="G26" s="362"/>
      <c r="H26" s="362">
        <f>H24-H25</f>
        <v>0</v>
      </c>
      <c r="I26" s="362">
        <f>I24-I25</f>
        <v>0</v>
      </c>
      <c r="J26" s="362"/>
      <c r="K26" s="362">
        <f>K24-K25</f>
        <v>0</v>
      </c>
      <c r="L26" s="362"/>
      <c r="M26" s="363">
        <f t="shared" si="0"/>
        <v>0</v>
      </c>
      <c r="N26" s="363">
        <f t="shared" si="1"/>
        <v>0</v>
      </c>
      <c r="O26" s="382"/>
      <c r="P26" s="449"/>
    </row>
    <row r="27" spans="1:16" s="312" customFormat="1" ht="12.75">
      <c r="A27" s="357"/>
      <c r="B27" s="438" t="s">
        <v>776</v>
      </c>
      <c r="C27" s="441" t="s">
        <v>782</v>
      </c>
      <c r="D27" s="444" t="s">
        <v>1089</v>
      </c>
      <c r="E27" s="358" t="s">
        <v>982</v>
      </c>
      <c r="F27" s="358"/>
      <c r="G27" s="358"/>
      <c r="H27" s="358">
        <v>41750</v>
      </c>
      <c r="I27" s="358"/>
      <c r="J27" s="358"/>
      <c r="K27" s="358"/>
      <c r="L27" s="358"/>
      <c r="M27" s="359">
        <f t="shared" si="0"/>
        <v>41750</v>
      </c>
      <c r="N27" s="359">
        <f>M27</f>
        <v>41750</v>
      </c>
      <c r="O27" s="380"/>
      <c r="P27" s="447" t="s">
        <v>1090</v>
      </c>
    </row>
    <row r="28" spans="1:16" s="312" customFormat="1" ht="12.75" customHeight="1">
      <c r="A28" s="309"/>
      <c r="B28" s="439"/>
      <c r="C28" s="442"/>
      <c r="D28" s="445"/>
      <c r="E28" s="360" t="s">
        <v>984</v>
      </c>
      <c r="F28" s="360"/>
      <c r="G28" s="360"/>
      <c r="H28" s="360">
        <v>41750</v>
      </c>
      <c r="I28" s="360"/>
      <c r="J28" s="360"/>
      <c r="K28" s="360"/>
      <c r="L28" s="360"/>
      <c r="M28" s="361">
        <f t="shared" si="0"/>
        <v>41750</v>
      </c>
      <c r="N28" s="361">
        <f t="shared" si="1"/>
        <v>41750</v>
      </c>
      <c r="O28" s="381"/>
      <c r="P28" s="448"/>
    </row>
    <row r="29" spans="1:16" s="312" customFormat="1" ht="12.75" customHeight="1" thickBot="1">
      <c r="A29" s="309"/>
      <c r="B29" s="440"/>
      <c r="C29" s="443"/>
      <c r="D29" s="446"/>
      <c r="E29" s="362" t="s">
        <v>985</v>
      </c>
      <c r="F29" s="362"/>
      <c r="G29" s="362"/>
      <c r="H29" s="362">
        <v>0</v>
      </c>
      <c r="I29" s="362"/>
      <c r="J29" s="362"/>
      <c r="K29" s="362"/>
      <c r="L29" s="362"/>
      <c r="M29" s="363">
        <f t="shared" si="0"/>
        <v>0</v>
      </c>
      <c r="N29" s="363">
        <f t="shared" si="1"/>
        <v>0</v>
      </c>
      <c r="O29" s="382"/>
      <c r="P29" s="449"/>
    </row>
    <row r="30" spans="1:16" s="312" customFormat="1" ht="12.75">
      <c r="A30" s="357"/>
      <c r="B30" s="438" t="s">
        <v>1091</v>
      </c>
      <c r="C30" s="468" t="s">
        <v>1092</v>
      </c>
      <c r="D30" s="444" t="s">
        <v>1093</v>
      </c>
      <c r="E30" s="358" t="s">
        <v>982</v>
      </c>
      <c r="F30" s="358">
        <f>136745+100000</f>
        <v>236745</v>
      </c>
      <c r="G30" s="358">
        <v>9000</v>
      </c>
      <c r="H30" s="358">
        <v>169429</v>
      </c>
      <c r="I30" s="358"/>
      <c r="J30" s="358"/>
      <c r="K30" s="358">
        <v>33925</v>
      </c>
      <c r="L30" s="358"/>
      <c r="M30" s="359">
        <f t="shared" si="0"/>
        <v>449099</v>
      </c>
      <c r="N30" s="359"/>
      <c r="O30" s="359">
        <f aca="true" t="shared" si="2" ref="O30:O41">M30</f>
        <v>449099</v>
      </c>
      <c r="P30" s="447" t="s">
        <v>1094</v>
      </c>
    </row>
    <row r="31" spans="1:16" s="312" customFormat="1" ht="12.75" customHeight="1">
      <c r="A31" s="309"/>
      <c r="B31" s="439"/>
      <c r="C31" s="442"/>
      <c r="D31" s="445"/>
      <c r="E31" s="360" t="s">
        <v>984</v>
      </c>
      <c r="F31" s="360">
        <f>F30</f>
        <v>236745</v>
      </c>
      <c r="G31" s="360">
        <f>G30</f>
        <v>9000</v>
      </c>
      <c r="H31" s="360">
        <v>34071</v>
      </c>
      <c r="I31" s="360"/>
      <c r="J31" s="360"/>
      <c r="K31" s="360">
        <v>0</v>
      </c>
      <c r="L31" s="360"/>
      <c r="M31" s="361">
        <f t="shared" si="0"/>
        <v>279816</v>
      </c>
      <c r="N31" s="361"/>
      <c r="O31" s="361">
        <f t="shared" si="2"/>
        <v>279816</v>
      </c>
      <c r="P31" s="448"/>
    </row>
    <row r="32" spans="1:16" s="312" customFormat="1" ht="12.75" customHeight="1" thickBot="1">
      <c r="A32" s="309"/>
      <c r="B32" s="440"/>
      <c r="C32" s="443"/>
      <c r="D32" s="446"/>
      <c r="E32" s="362" t="s">
        <v>985</v>
      </c>
      <c r="F32" s="362">
        <f>F30-F31</f>
        <v>0</v>
      </c>
      <c r="G32" s="362">
        <f>G30-G31</f>
        <v>0</v>
      </c>
      <c r="H32" s="362">
        <f>H30-H31</f>
        <v>135358</v>
      </c>
      <c r="I32" s="362"/>
      <c r="J32" s="362"/>
      <c r="K32" s="362">
        <f>K30-K31</f>
        <v>33925</v>
      </c>
      <c r="L32" s="362"/>
      <c r="M32" s="363">
        <f t="shared" si="0"/>
        <v>169283</v>
      </c>
      <c r="N32" s="363"/>
      <c r="O32" s="363">
        <f t="shared" si="2"/>
        <v>169283</v>
      </c>
      <c r="P32" s="449"/>
    </row>
    <row r="33" spans="1:16" s="312" customFormat="1" ht="12.75">
      <c r="A33" s="357"/>
      <c r="B33" s="438" t="s">
        <v>664</v>
      </c>
      <c r="C33" s="441" t="s">
        <v>665</v>
      </c>
      <c r="D33" s="444" t="s">
        <v>1095</v>
      </c>
      <c r="E33" s="358" t="s">
        <v>982</v>
      </c>
      <c r="F33" s="358"/>
      <c r="G33" s="358"/>
      <c r="H33" s="358"/>
      <c r="I33" s="358"/>
      <c r="J33" s="358"/>
      <c r="K33" s="358">
        <v>1670</v>
      </c>
      <c r="L33" s="358"/>
      <c r="M33" s="359">
        <f t="shared" si="0"/>
        <v>1670</v>
      </c>
      <c r="N33" s="359"/>
      <c r="O33" s="359">
        <f t="shared" si="2"/>
        <v>1670</v>
      </c>
      <c r="P33" s="447" t="s">
        <v>1096</v>
      </c>
    </row>
    <row r="34" spans="1:16" s="312" customFormat="1" ht="12.75" customHeight="1">
      <c r="A34" s="309"/>
      <c r="B34" s="439"/>
      <c r="C34" s="442"/>
      <c r="D34" s="445"/>
      <c r="E34" s="360" t="s">
        <v>984</v>
      </c>
      <c r="F34" s="360"/>
      <c r="G34" s="360"/>
      <c r="H34" s="360"/>
      <c r="I34" s="360"/>
      <c r="J34" s="360"/>
      <c r="K34" s="360">
        <v>1670</v>
      </c>
      <c r="L34" s="360"/>
      <c r="M34" s="361">
        <f t="shared" si="0"/>
        <v>1670</v>
      </c>
      <c r="N34" s="361"/>
      <c r="O34" s="361">
        <f t="shared" si="2"/>
        <v>1670</v>
      </c>
      <c r="P34" s="448"/>
    </row>
    <row r="35" spans="1:16" s="312" customFormat="1" ht="12.75" customHeight="1" thickBot="1">
      <c r="A35" s="309"/>
      <c r="B35" s="440"/>
      <c r="C35" s="443"/>
      <c r="D35" s="446"/>
      <c r="E35" s="362" t="s">
        <v>985</v>
      </c>
      <c r="F35" s="362"/>
      <c r="G35" s="362"/>
      <c r="H35" s="362"/>
      <c r="I35" s="362"/>
      <c r="J35" s="362"/>
      <c r="K35" s="362">
        <v>0</v>
      </c>
      <c r="L35" s="362"/>
      <c r="M35" s="363">
        <f t="shared" si="0"/>
        <v>0</v>
      </c>
      <c r="N35" s="363"/>
      <c r="O35" s="363">
        <f t="shared" si="2"/>
        <v>0</v>
      </c>
      <c r="P35" s="469"/>
    </row>
    <row r="36" spans="1:25" s="312" customFormat="1" ht="15.75" customHeight="1">
      <c r="A36" s="357"/>
      <c r="B36" s="438" t="s">
        <v>1097</v>
      </c>
      <c r="C36" s="468" t="s">
        <v>1098</v>
      </c>
      <c r="D36" s="444" t="s">
        <v>1099</v>
      </c>
      <c r="E36" s="358" t="s">
        <v>982</v>
      </c>
      <c r="F36" s="358"/>
      <c r="G36" s="358"/>
      <c r="H36" s="358">
        <f>3614+34577+1889+52537+63957</f>
        <v>156574</v>
      </c>
      <c r="I36" s="358">
        <v>14911</v>
      </c>
      <c r="J36" s="358"/>
      <c r="K36" s="358"/>
      <c r="L36" s="358"/>
      <c r="M36" s="359">
        <f t="shared" si="0"/>
        <v>171485</v>
      </c>
      <c r="N36" s="359"/>
      <c r="O36" s="359">
        <f t="shared" si="2"/>
        <v>171485</v>
      </c>
      <c r="P36" s="470" t="s">
        <v>1100</v>
      </c>
      <c r="Q36" s="383"/>
      <c r="R36" s="383"/>
      <c r="S36" s="383"/>
      <c r="T36" s="383"/>
      <c r="U36" s="383"/>
      <c r="V36" s="383"/>
      <c r="W36" s="383"/>
      <c r="X36" s="383"/>
      <c r="Y36" s="383"/>
    </row>
    <row r="37" spans="1:25" s="312" customFormat="1" ht="24" customHeight="1">
      <c r="A37" s="309"/>
      <c r="B37" s="439"/>
      <c r="C37" s="442"/>
      <c r="D37" s="445"/>
      <c r="E37" s="360" t="s">
        <v>984</v>
      </c>
      <c r="F37" s="360"/>
      <c r="G37" s="360"/>
      <c r="H37" s="360">
        <f>H36-700</f>
        <v>155874</v>
      </c>
      <c r="I37" s="360">
        <f>I36</f>
        <v>14911</v>
      </c>
      <c r="J37" s="360"/>
      <c r="K37" s="360"/>
      <c r="L37" s="360"/>
      <c r="M37" s="361">
        <f t="shared" si="0"/>
        <v>170785</v>
      </c>
      <c r="N37" s="361"/>
      <c r="O37" s="361">
        <f t="shared" si="2"/>
        <v>170785</v>
      </c>
      <c r="P37" s="470"/>
      <c r="Q37" s="384"/>
      <c r="R37" s="384"/>
      <c r="S37" s="384"/>
      <c r="T37" s="384"/>
      <c r="U37" s="384"/>
      <c r="V37" s="384"/>
      <c r="W37" s="384"/>
      <c r="X37" s="384"/>
      <c r="Y37" s="384"/>
    </row>
    <row r="38" spans="1:25" s="312" customFormat="1" ht="27.75" customHeight="1" thickBot="1">
      <c r="A38" s="309"/>
      <c r="B38" s="440"/>
      <c r="C38" s="443"/>
      <c r="D38" s="446"/>
      <c r="E38" s="362" t="s">
        <v>985</v>
      </c>
      <c r="F38" s="362"/>
      <c r="G38" s="362"/>
      <c r="H38" s="362">
        <f>H36-H37</f>
        <v>700</v>
      </c>
      <c r="I38" s="362">
        <f>I36-I37</f>
        <v>0</v>
      </c>
      <c r="J38" s="362"/>
      <c r="K38" s="362"/>
      <c r="L38" s="362"/>
      <c r="M38" s="363">
        <f t="shared" si="0"/>
        <v>700</v>
      </c>
      <c r="N38" s="363"/>
      <c r="O38" s="363">
        <f t="shared" si="2"/>
        <v>700</v>
      </c>
      <c r="P38" s="470"/>
      <c r="Q38" s="384"/>
      <c r="R38" s="384"/>
      <c r="S38" s="384"/>
      <c r="T38" s="384"/>
      <c r="U38" s="384"/>
      <c r="V38" s="384"/>
      <c r="W38" s="384"/>
      <c r="X38" s="384"/>
      <c r="Y38" s="384"/>
    </row>
    <row r="39" spans="1:16" s="312" customFormat="1" ht="12.75">
      <c r="A39" s="357"/>
      <c r="B39" s="438" t="s">
        <v>916</v>
      </c>
      <c r="C39" s="441" t="s">
        <v>914</v>
      </c>
      <c r="D39" s="444" t="s">
        <v>1101</v>
      </c>
      <c r="E39" s="358" t="s">
        <v>982</v>
      </c>
      <c r="F39" s="358">
        <v>3200</v>
      </c>
      <c r="G39" s="358">
        <v>1024</v>
      </c>
      <c r="H39" s="358">
        <v>67103</v>
      </c>
      <c r="I39" s="358"/>
      <c r="J39" s="358"/>
      <c r="K39" s="358">
        <v>5000</v>
      </c>
      <c r="L39" s="358"/>
      <c r="M39" s="359">
        <f>SUM(F39:L39)</f>
        <v>76327</v>
      </c>
      <c r="N39" s="359"/>
      <c r="O39" s="359">
        <f t="shared" si="2"/>
        <v>76327</v>
      </c>
      <c r="P39" s="465" t="s">
        <v>1102</v>
      </c>
    </row>
    <row r="40" spans="1:16" s="312" customFormat="1" ht="12.75" customHeight="1">
      <c r="A40" s="309"/>
      <c r="B40" s="439"/>
      <c r="C40" s="442"/>
      <c r="D40" s="445"/>
      <c r="E40" s="360" t="s">
        <v>984</v>
      </c>
      <c r="F40" s="360">
        <v>0</v>
      </c>
      <c r="G40" s="360">
        <v>0</v>
      </c>
      <c r="H40" s="360">
        <v>0</v>
      </c>
      <c r="I40" s="360"/>
      <c r="J40" s="360"/>
      <c r="K40" s="360">
        <v>0</v>
      </c>
      <c r="L40" s="360"/>
      <c r="M40" s="361">
        <f t="shared" si="0"/>
        <v>0</v>
      </c>
      <c r="N40" s="361"/>
      <c r="O40" s="361">
        <f t="shared" si="2"/>
        <v>0</v>
      </c>
      <c r="P40" s="448"/>
    </row>
    <row r="41" spans="1:16" s="312" customFormat="1" ht="12.75" customHeight="1" thickBot="1">
      <c r="A41" s="309"/>
      <c r="B41" s="440"/>
      <c r="C41" s="443"/>
      <c r="D41" s="446"/>
      <c r="E41" s="362" t="s">
        <v>985</v>
      </c>
      <c r="F41" s="362">
        <f>F39-F40</f>
        <v>3200</v>
      </c>
      <c r="G41" s="362">
        <f>G39-G40</f>
        <v>1024</v>
      </c>
      <c r="H41" s="362">
        <f>H39-H40</f>
        <v>67103</v>
      </c>
      <c r="I41" s="362"/>
      <c r="J41" s="362"/>
      <c r="K41" s="362">
        <f>K39-K40</f>
        <v>5000</v>
      </c>
      <c r="L41" s="362"/>
      <c r="M41" s="363">
        <f t="shared" si="0"/>
        <v>76327</v>
      </c>
      <c r="N41" s="363"/>
      <c r="O41" s="363">
        <f t="shared" si="2"/>
        <v>76327</v>
      </c>
      <c r="P41" s="449"/>
    </row>
  </sheetData>
  <sheetProtection password="EE36" sheet="1" formatCells="0" formatColumns="0" formatRows="0" insertColumns="0" insertRows="0" insertHyperlinks="0" deleteColumns="0" deleteRows="0" sort="0" autoFilter="0" pivotTables="0"/>
  <mergeCells count="67">
    <mergeCell ref="B36:B38"/>
    <mergeCell ref="C36:C38"/>
    <mergeCell ref="D36:D38"/>
    <mergeCell ref="P36:P38"/>
    <mergeCell ref="B39:B41"/>
    <mergeCell ref="C39:C41"/>
    <mergeCell ref="D39:D41"/>
    <mergeCell ref="P39:P41"/>
    <mergeCell ref="B30:B32"/>
    <mergeCell ref="C30:C32"/>
    <mergeCell ref="D30:D32"/>
    <mergeCell ref="P30:P32"/>
    <mergeCell ref="B33:B35"/>
    <mergeCell ref="C33:C35"/>
    <mergeCell ref="D33:D35"/>
    <mergeCell ref="P33:P35"/>
    <mergeCell ref="B24:B26"/>
    <mergeCell ref="C24:C26"/>
    <mergeCell ref="D24:D26"/>
    <mergeCell ref="P24:P26"/>
    <mergeCell ref="B27:B29"/>
    <mergeCell ref="C27:C29"/>
    <mergeCell ref="D27:D29"/>
    <mergeCell ref="P27:P29"/>
    <mergeCell ref="B18:B20"/>
    <mergeCell ref="C18:C20"/>
    <mergeCell ref="D18:D20"/>
    <mergeCell ref="P18:P20"/>
    <mergeCell ref="B21:B23"/>
    <mergeCell ref="C21:C23"/>
    <mergeCell ref="D21:D23"/>
    <mergeCell ref="P21:P23"/>
    <mergeCell ref="B12:B14"/>
    <mergeCell ref="C12:C14"/>
    <mergeCell ref="D12:D14"/>
    <mergeCell ref="P12:P14"/>
    <mergeCell ref="B15:B17"/>
    <mergeCell ref="C15:C17"/>
    <mergeCell ref="D15:D17"/>
    <mergeCell ref="P15:P17"/>
    <mergeCell ref="B6:B8"/>
    <mergeCell ref="C6:C8"/>
    <mergeCell ref="D6:D8"/>
    <mergeCell ref="P6:P8"/>
    <mergeCell ref="B9:B11"/>
    <mergeCell ref="C9:C11"/>
    <mergeCell ref="D9:D11"/>
    <mergeCell ref="P9:P11"/>
    <mergeCell ref="M1:M2"/>
    <mergeCell ref="N1:O1"/>
    <mergeCell ref="P1:P2"/>
    <mergeCell ref="B3:B5"/>
    <mergeCell ref="C3:C5"/>
    <mergeCell ref="D3:D5"/>
    <mergeCell ref="P3:P5"/>
    <mergeCell ref="G1:G2"/>
    <mergeCell ref="H1:H2"/>
    <mergeCell ref="I1:I2"/>
    <mergeCell ref="J1:J2"/>
    <mergeCell ref="K1:K2"/>
    <mergeCell ref="L1:L2"/>
    <mergeCell ref="A1:A2"/>
    <mergeCell ref="B1:B2"/>
    <mergeCell ref="C1:C2"/>
    <mergeCell ref="D1:D2"/>
    <mergeCell ref="E1:E2"/>
    <mergeCell ref="F1:F2"/>
  </mergeCells>
  <printOptions horizontalCentered="1"/>
  <pageMargins left="0.2755905511811024" right="0.1968503937007874" top="0.8267716535433072" bottom="0.5905511811023623" header="0.15748031496062992" footer="0"/>
  <pageSetup fitToHeight="2" fitToWidth="1" horizontalDpi="600" verticalDpi="600" orientation="landscape" paperSize="9" scale="57" r:id="rId1"/>
  <headerFooter alignWithMargins="0">
    <oddHeader>&amp;L&amp;"Times New Roman,Normál"&amp;14Mezőgazdasági Szakigazgatási Hivatal&amp;C&amp;"Times New Roman,Félkövér"&amp;16 2010. évi fejezeti támogatás értékű bevételek és maradvány-átvételek
 felhasználása&amp;R&amp;"Times New Roman,Normál"&amp;20 3/b. sz. melléklet
Adatok ezer Ft-ban
</oddHeader>
    <oddFooter>&amp;L&amp;"Times New Roman,Normál"&amp;14Budapest, 2011. március 30.</oddFooter>
  </headerFooter>
</worksheet>
</file>

<file path=xl/worksheets/sheet6.xml><?xml version="1.0" encoding="utf-8"?>
<worksheet xmlns="http://schemas.openxmlformats.org/spreadsheetml/2006/main" xmlns:r="http://schemas.openxmlformats.org/officeDocument/2006/relationships">
  <dimension ref="A1:H103"/>
  <sheetViews>
    <sheetView showGridLines="0" zoomScale="80" zoomScaleNormal="80" zoomScalePageLayoutView="0" workbookViewId="0" topLeftCell="A4">
      <selection activeCell="G11" sqref="G11"/>
    </sheetView>
  </sheetViews>
  <sheetFormatPr defaultColWidth="9.140625" defaultRowHeight="12.75"/>
  <cols>
    <col min="1" max="1" width="27.28125" style="46" customWidth="1"/>
    <col min="2" max="2" width="19.57421875" style="46" customWidth="1"/>
    <col min="3" max="3" width="20.7109375" style="46" customWidth="1"/>
    <col min="4" max="4" width="9.8515625" style="46" customWidth="1"/>
    <col min="5" max="6" width="10.28125" style="46" bestFit="1" customWidth="1"/>
    <col min="7" max="16384" width="9.140625" style="46" customWidth="1"/>
  </cols>
  <sheetData>
    <row r="1" ht="15.75">
      <c r="A1" s="45" t="s">
        <v>134</v>
      </c>
    </row>
    <row r="2" ht="12.75">
      <c r="F2" s="47" t="s">
        <v>2</v>
      </c>
    </row>
    <row r="3" spans="1:6" ht="15.75">
      <c r="A3" s="45"/>
      <c r="B3" s="45"/>
      <c r="C3" s="45"/>
      <c r="D3" s="45"/>
      <c r="E3" s="45"/>
      <c r="F3" s="45"/>
    </row>
    <row r="4" spans="1:6" ht="18.75">
      <c r="A4" s="471" t="s">
        <v>3</v>
      </c>
      <c r="B4" s="471"/>
      <c r="C4" s="471"/>
      <c r="D4" s="471"/>
      <c r="E4" s="471"/>
      <c r="F4" s="471"/>
    </row>
    <row r="5" spans="1:6" ht="15.75">
      <c r="A5" s="45"/>
      <c r="B5" s="45"/>
      <c r="C5" s="45"/>
      <c r="D5" s="45"/>
      <c r="E5" s="45"/>
      <c r="F5" s="45" t="s">
        <v>20</v>
      </c>
    </row>
    <row r="6" spans="1:6" ht="15.75" customHeight="1">
      <c r="A6" s="45"/>
      <c r="B6" s="472" t="s">
        <v>13</v>
      </c>
      <c r="C6" s="472"/>
      <c r="D6" s="473" t="s">
        <v>4</v>
      </c>
      <c r="E6" s="473"/>
      <c r="F6" s="474" t="s">
        <v>5</v>
      </c>
    </row>
    <row r="7" spans="1:6" ht="15.75">
      <c r="A7" s="45"/>
      <c r="B7" s="472"/>
      <c r="C7" s="472"/>
      <c r="D7" s="473"/>
      <c r="E7" s="473"/>
      <c r="F7" s="474"/>
    </row>
    <row r="8" spans="1:6" ht="15.75">
      <c r="A8" s="45"/>
      <c r="B8" s="475" t="s">
        <v>113</v>
      </c>
      <c r="C8" s="475" t="s">
        <v>116</v>
      </c>
      <c r="D8" s="474" t="s">
        <v>118</v>
      </c>
      <c r="E8" s="474" t="s">
        <v>119</v>
      </c>
      <c r="F8" s="475" t="s">
        <v>119</v>
      </c>
    </row>
    <row r="9" spans="1:6" ht="15.75">
      <c r="A9" s="45"/>
      <c r="B9" s="475"/>
      <c r="C9" s="475"/>
      <c r="D9" s="474"/>
      <c r="E9" s="474"/>
      <c r="F9" s="475"/>
    </row>
    <row r="10" spans="1:6" ht="15.75">
      <c r="A10" s="45" t="s">
        <v>6</v>
      </c>
      <c r="B10" s="45"/>
      <c r="C10" s="45"/>
      <c r="D10" s="45"/>
      <c r="E10" s="45"/>
      <c r="F10" s="45"/>
    </row>
    <row r="11" spans="1:6" ht="15.75">
      <c r="A11" s="45"/>
      <c r="B11" s="45"/>
      <c r="C11" s="45"/>
      <c r="D11" s="45"/>
      <c r="E11" s="45"/>
      <c r="F11" s="45"/>
    </row>
    <row r="12" spans="1:6" ht="15.75">
      <c r="A12" s="48" t="s">
        <v>7</v>
      </c>
      <c r="B12" s="49">
        <v>4340</v>
      </c>
      <c r="C12" s="49">
        <v>4262</v>
      </c>
      <c r="D12" s="49">
        <v>4260</v>
      </c>
      <c r="E12" s="49">
        <v>4308</v>
      </c>
      <c r="F12" s="49"/>
    </row>
    <row r="13" spans="1:6" ht="15.75">
      <c r="A13" s="48" t="s">
        <v>8</v>
      </c>
      <c r="B13" s="50">
        <v>66</v>
      </c>
      <c r="C13" s="50">
        <v>79</v>
      </c>
      <c r="D13" s="50">
        <v>46</v>
      </c>
      <c r="E13" s="50">
        <v>78</v>
      </c>
      <c r="F13" s="50"/>
    </row>
    <row r="14" spans="1:6" ht="15.75">
      <c r="A14" s="48" t="s">
        <v>9</v>
      </c>
      <c r="B14" s="50"/>
      <c r="C14" s="50"/>
      <c r="D14" s="50"/>
      <c r="E14" s="50"/>
      <c r="F14" s="50"/>
    </row>
    <row r="15" spans="1:6" ht="15.75">
      <c r="A15" s="48" t="s">
        <v>12</v>
      </c>
      <c r="B15" s="50">
        <f>SUM(B12:B14)</f>
        <v>4406</v>
      </c>
      <c r="C15" s="50">
        <f>SUM(C12:C14)</f>
        <v>4341</v>
      </c>
      <c r="D15" s="50">
        <f>SUM(D12:D14)</f>
        <v>4306</v>
      </c>
      <c r="E15" s="50">
        <f>SUM(E12:E14)</f>
        <v>4386</v>
      </c>
      <c r="F15" s="50"/>
    </row>
    <row r="16" spans="1:6" ht="15.75">
      <c r="A16" s="48" t="s">
        <v>10</v>
      </c>
      <c r="B16" s="50">
        <v>468</v>
      </c>
      <c r="C16" s="50">
        <v>456</v>
      </c>
      <c r="D16" s="50">
        <v>452</v>
      </c>
      <c r="E16" s="50">
        <v>397</v>
      </c>
      <c r="F16" s="50"/>
    </row>
    <row r="17" spans="1:6" ht="15.75">
      <c r="A17" s="48" t="s">
        <v>11</v>
      </c>
      <c r="B17" s="50">
        <f>+B16+B15</f>
        <v>4874</v>
      </c>
      <c r="C17" s="50">
        <f>+C16+C15</f>
        <v>4797</v>
      </c>
      <c r="D17" s="50">
        <f>+D16+D15</f>
        <v>4758</v>
      </c>
      <c r="E17" s="50">
        <f>+E16+E15</f>
        <v>4783</v>
      </c>
      <c r="F17" s="50">
        <v>66</v>
      </c>
    </row>
    <row r="18" spans="1:6" ht="15.75">
      <c r="A18" s="45"/>
      <c r="B18" s="45"/>
      <c r="C18" s="45"/>
      <c r="D18" s="45"/>
      <c r="E18" s="45"/>
      <c r="F18" s="45"/>
    </row>
    <row r="19" spans="1:6" ht="15.75">
      <c r="A19" s="484" t="s">
        <v>120</v>
      </c>
      <c r="B19" s="484"/>
      <c r="C19" s="484"/>
      <c r="D19" s="484"/>
      <c r="E19" s="48"/>
      <c r="F19" s="45"/>
    </row>
    <row r="20" spans="1:6" ht="15.75">
      <c r="A20" s="484" t="s">
        <v>14</v>
      </c>
      <c r="B20" s="484"/>
      <c r="C20" s="484"/>
      <c r="D20" s="484"/>
      <c r="E20" s="48">
        <v>0</v>
      </c>
      <c r="F20" s="45"/>
    </row>
    <row r="21" spans="1:5" ht="15.75">
      <c r="A21" s="485" t="s">
        <v>15</v>
      </c>
      <c r="B21" s="485"/>
      <c r="C21" s="485"/>
      <c r="D21" s="485"/>
      <c r="E21" s="48">
        <v>1</v>
      </c>
    </row>
    <row r="22" spans="1:5" ht="15.75">
      <c r="A22" s="45" t="s">
        <v>121</v>
      </c>
      <c r="B22" s="45"/>
      <c r="C22" s="45"/>
      <c r="D22" s="45"/>
      <c r="E22" s="45"/>
    </row>
    <row r="23" spans="1:5" ht="15.75">
      <c r="A23" s="484" t="s">
        <v>16</v>
      </c>
      <c r="B23" s="484"/>
      <c r="C23" s="484"/>
      <c r="D23" s="484"/>
      <c r="E23" s="48">
        <v>2.87</v>
      </c>
    </row>
    <row r="24" spans="1:5" ht="15.75">
      <c r="A24" s="484" t="s">
        <v>17</v>
      </c>
      <c r="B24" s="484"/>
      <c r="C24" s="484"/>
      <c r="D24" s="484"/>
      <c r="E24" s="48">
        <v>5.01</v>
      </c>
    </row>
    <row r="25" spans="1:5" ht="15.75">
      <c r="A25" s="476" t="s">
        <v>18</v>
      </c>
      <c r="B25" s="477"/>
      <c r="C25" s="477"/>
      <c r="D25" s="478"/>
      <c r="E25" s="48">
        <v>4.94</v>
      </c>
    </row>
    <row r="26" spans="1:6" ht="15.75">
      <c r="A26" s="476" t="s">
        <v>1</v>
      </c>
      <c r="B26" s="477"/>
      <c r="C26" s="477"/>
      <c r="D26" s="478"/>
      <c r="E26" s="48">
        <f>+E25+E24+E23</f>
        <v>12.82</v>
      </c>
      <c r="F26" s="45"/>
    </row>
    <row r="27" spans="1:6" ht="15.75">
      <c r="A27" s="45"/>
      <c r="B27" s="45"/>
      <c r="C27" s="45"/>
      <c r="D27" s="45"/>
      <c r="E27" s="45"/>
      <c r="F27" s="45"/>
    </row>
    <row r="28" spans="1:6" ht="15.75">
      <c r="A28" s="476" t="s">
        <v>19</v>
      </c>
      <c r="B28" s="477"/>
      <c r="C28" s="477"/>
      <c r="D28" s="478"/>
      <c r="E28" s="48">
        <v>4928</v>
      </c>
      <c r="F28" s="45"/>
    </row>
    <row r="29" spans="1:6" ht="15.75">
      <c r="A29" s="479" t="s">
        <v>135</v>
      </c>
      <c r="B29" s="480"/>
      <c r="C29" s="480"/>
      <c r="D29" s="480"/>
      <c r="E29" s="482">
        <f>330885+16800</f>
        <v>347685</v>
      </c>
      <c r="F29" s="45"/>
    </row>
    <row r="30" spans="1:6" ht="15.75">
      <c r="A30" s="481"/>
      <c r="B30" s="481"/>
      <c r="C30" s="481"/>
      <c r="D30" s="481"/>
      <c r="E30" s="483"/>
      <c r="F30" s="45"/>
    </row>
    <row r="31" spans="1:8" ht="26.25" customHeight="1">
      <c r="A31" s="51" t="s">
        <v>89</v>
      </c>
      <c r="B31" s="51"/>
      <c r="C31" s="51"/>
      <c r="D31" s="51"/>
      <c r="E31" s="51"/>
      <c r="F31" s="51"/>
      <c r="G31" s="51"/>
      <c r="H31" s="51"/>
    </row>
    <row r="32" spans="1:8" ht="15.75" customHeight="1">
      <c r="A32" s="51" t="s">
        <v>136</v>
      </c>
      <c r="B32" s="51"/>
      <c r="C32" s="51"/>
      <c r="D32" s="51"/>
      <c r="E32" s="51"/>
      <c r="F32" s="51"/>
      <c r="G32" s="51"/>
      <c r="H32" s="51"/>
    </row>
    <row r="33" spans="1:6" ht="15.75">
      <c r="A33" s="45"/>
      <c r="B33" s="45"/>
      <c r="C33" s="45"/>
      <c r="D33" s="45"/>
      <c r="E33" s="45"/>
      <c r="F33" s="45"/>
    </row>
    <row r="34" spans="1:6" ht="15.75">
      <c r="A34" s="45"/>
      <c r="B34" s="45"/>
      <c r="C34" s="45"/>
      <c r="D34" s="45"/>
      <c r="E34" s="45"/>
      <c r="F34" s="45"/>
    </row>
    <row r="35" spans="1:6" ht="15.75">
      <c r="A35" s="45"/>
      <c r="B35" s="45"/>
      <c r="C35" s="45"/>
      <c r="D35" s="45"/>
      <c r="E35" s="45"/>
      <c r="F35" s="45"/>
    </row>
    <row r="36" spans="1:6" ht="15.75">
      <c r="A36" s="45"/>
      <c r="B36" s="45"/>
      <c r="C36" s="45"/>
      <c r="D36" s="45"/>
      <c r="E36" s="45"/>
      <c r="F36" s="45"/>
    </row>
    <row r="37" spans="1:6" ht="15.75">
      <c r="A37" s="45"/>
      <c r="B37" s="45"/>
      <c r="C37" s="45"/>
      <c r="D37" s="45"/>
      <c r="E37" s="45"/>
      <c r="F37" s="45"/>
    </row>
    <row r="38" spans="1:6" ht="15.75">
      <c r="A38" s="45"/>
      <c r="B38" s="45"/>
      <c r="C38" s="45"/>
      <c r="D38" s="45"/>
      <c r="E38" s="45"/>
      <c r="F38" s="45"/>
    </row>
    <row r="39" spans="1:6" ht="15.75">
      <c r="A39" s="45"/>
      <c r="B39" s="45"/>
      <c r="C39" s="45"/>
      <c r="D39" s="45"/>
      <c r="E39" s="45"/>
      <c r="F39" s="45"/>
    </row>
    <row r="40" spans="1:6" ht="15.75">
      <c r="A40" s="45"/>
      <c r="B40" s="45"/>
      <c r="C40" s="45"/>
      <c r="D40" s="45"/>
      <c r="E40" s="45"/>
      <c r="F40" s="45"/>
    </row>
    <row r="41" spans="1:6" ht="15.75">
      <c r="A41" s="45"/>
      <c r="B41" s="45"/>
      <c r="C41" s="45"/>
      <c r="D41" s="45"/>
      <c r="E41" s="45"/>
      <c r="F41" s="45"/>
    </row>
    <row r="42" spans="1:6" ht="15.75">
      <c r="A42" s="45"/>
      <c r="B42" s="45"/>
      <c r="C42" s="45"/>
      <c r="D42" s="45"/>
      <c r="E42" s="45"/>
      <c r="F42" s="45"/>
    </row>
    <row r="43" spans="1:6" ht="15.75">
      <c r="A43" s="45"/>
      <c r="B43" s="45"/>
      <c r="C43" s="45"/>
      <c r="D43" s="45"/>
      <c r="E43" s="45"/>
      <c r="F43" s="45"/>
    </row>
    <row r="44" spans="1:6" ht="15.75">
      <c r="A44" s="45"/>
      <c r="B44" s="45"/>
      <c r="C44" s="45"/>
      <c r="D44" s="45"/>
      <c r="E44" s="45"/>
      <c r="F44" s="45"/>
    </row>
    <row r="45" spans="1:6" ht="15.75">
      <c r="A45" s="45"/>
      <c r="B45" s="45"/>
      <c r="C45" s="45"/>
      <c r="D45" s="45"/>
      <c r="E45" s="45"/>
      <c r="F45" s="45"/>
    </row>
    <row r="46" spans="1:6" ht="15.75">
      <c r="A46" s="45"/>
      <c r="B46" s="45"/>
      <c r="C46" s="45"/>
      <c r="D46" s="45"/>
      <c r="E46" s="45"/>
      <c r="F46" s="45"/>
    </row>
    <row r="47" spans="1:6" ht="15.75">
      <c r="A47" s="45"/>
      <c r="B47" s="45"/>
      <c r="C47" s="45"/>
      <c r="D47" s="45"/>
      <c r="E47" s="45"/>
      <c r="F47" s="45"/>
    </row>
    <row r="48" spans="1:6" ht="15.75">
      <c r="A48" s="45"/>
      <c r="B48" s="45"/>
      <c r="C48" s="45"/>
      <c r="D48" s="45"/>
      <c r="E48" s="45"/>
      <c r="F48" s="45"/>
    </row>
    <row r="49" spans="1:6" ht="15.75">
      <c r="A49" s="45"/>
      <c r="B49" s="45"/>
      <c r="C49" s="45"/>
      <c r="D49" s="45"/>
      <c r="E49" s="45"/>
      <c r="F49" s="45"/>
    </row>
    <row r="50" spans="1:6" ht="15.75">
      <c r="A50" s="45"/>
      <c r="B50" s="45"/>
      <c r="C50" s="45"/>
      <c r="D50" s="45"/>
      <c r="E50" s="45"/>
      <c r="F50" s="45"/>
    </row>
    <row r="51" spans="1:6" ht="15.75">
      <c r="A51" s="45"/>
      <c r="B51" s="45"/>
      <c r="C51" s="45"/>
      <c r="D51" s="45"/>
      <c r="E51" s="45"/>
      <c r="F51" s="45"/>
    </row>
    <row r="52" spans="1:6" ht="15.75">
      <c r="A52" s="45"/>
      <c r="B52" s="45"/>
      <c r="C52" s="45"/>
      <c r="D52" s="45"/>
      <c r="E52" s="45"/>
      <c r="F52" s="45"/>
    </row>
    <row r="53" spans="1:6" ht="15.75">
      <c r="A53" s="45"/>
      <c r="B53" s="45"/>
      <c r="C53" s="45"/>
      <c r="D53" s="45"/>
      <c r="E53" s="45"/>
      <c r="F53" s="45"/>
    </row>
    <row r="54" spans="1:6" ht="15.75">
      <c r="A54" s="45"/>
      <c r="B54" s="45"/>
      <c r="C54" s="45"/>
      <c r="D54" s="45"/>
      <c r="E54" s="45"/>
      <c r="F54" s="45"/>
    </row>
    <row r="55" spans="1:6" ht="15.75">
      <c r="A55" s="45"/>
      <c r="B55" s="45"/>
      <c r="C55" s="45"/>
      <c r="D55" s="45"/>
      <c r="E55" s="45"/>
      <c r="F55" s="45"/>
    </row>
    <row r="56" spans="1:6" ht="15.75">
      <c r="A56" s="45"/>
      <c r="B56" s="45"/>
      <c r="C56" s="45"/>
      <c r="D56" s="45"/>
      <c r="E56" s="45"/>
      <c r="F56" s="45"/>
    </row>
    <row r="57" spans="1:6" ht="15.75">
      <c r="A57" s="45"/>
      <c r="B57" s="45"/>
      <c r="C57" s="45"/>
      <c r="D57" s="45"/>
      <c r="E57" s="45"/>
      <c r="F57" s="45"/>
    </row>
    <row r="58" spans="1:6" ht="15.75">
      <c r="A58" s="45"/>
      <c r="B58" s="45"/>
      <c r="C58" s="45"/>
      <c r="D58" s="45"/>
      <c r="E58" s="45"/>
      <c r="F58" s="45"/>
    </row>
    <row r="59" spans="1:6" ht="15.75">
      <c r="A59" s="45"/>
      <c r="B59" s="45"/>
      <c r="C59" s="45"/>
      <c r="D59" s="45"/>
      <c r="E59" s="45"/>
      <c r="F59" s="45"/>
    </row>
    <row r="60" spans="1:6" ht="15.75">
      <c r="A60" s="45"/>
      <c r="B60" s="45"/>
      <c r="C60" s="45"/>
      <c r="D60" s="45"/>
      <c r="E60" s="45"/>
      <c r="F60" s="45"/>
    </row>
    <row r="61" spans="1:6" ht="15.75">
      <c r="A61" s="45"/>
      <c r="B61" s="45"/>
      <c r="C61" s="45"/>
      <c r="D61" s="45"/>
      <c r="E61" s="45"/>
      <c r="F61" s="45"/>
    </row>
    <row r="62" spans="1:6" ht="15.75">
      <c r="A62" s="45"/>
      <c r="B62" s="45"/>
      <c r="C62" s="45"/>
      <c r="D62" s="45"/>
      <c r="E62" s="45"/>
      <c r="F62" s="45"/>
    </row>
    <row r="63" spans="1:6" ht="15.75">
      <c r="A63" s="45"/>
      <c r="B63" s="45"/>
      <c r="C63" s="45"/>
      <c r="D63" s="45"/>
      <c r="E63" s="45"/>
      <c r="F63" s="45"/>
    </row>
    <row r="64" spans="1:6" ht="15.75">
      <c r="A64" s="45"/>
      <c r="B64" s="45"/>
      <c r="C64" s="45"/>
      <c r="D64" s="45"/>
      <c r="E64" s="45"/>
      <c r="F64" s="45"/>
    </row>
    <row r="65" spans="1:6" ht="15.75">
      <c r="A65" s="45"/>
      <c r="B65" s="45"/>
      <c r="C65" s="45"/>
      <c r="D65" s="45"/>
      <c r="E65" s="45"/>
      <c r="F65" s="45"/>
    </row>
    <row r="66" spans="1:6" ht="15.75">
      <c r="A66" s="45"/>
      <c r="B66" s="45"/>
      <c r="C66" s="45"/>
      <c r="D66" s="45"/>
      <c r="E66" s="45"/>
      <c r="F66" s="45"/>
    </row>
    <row r="67" spans="1:6" ht="15.75">
      <c r="A67" s="45"/>
      <c r="B67" s="45"/>
      <c r="C67" s="45"/>
      <c r="D67" s="45"/>
      <c r="E67" s="45"/>
      <c r="F67" s="45"/>
    </row>
    <row r="68" spans="1:6" ht="15.75">
      <c r="A68" s="45"/>
      <c r="B68" s="45"/>
      <c r="C68" s="45"/>
      <c r="D68" s="45"/>
      <c r="E68" s="45"/>
      <c r="F68" s="45"/>
    </row>
    <row r="69" spans="1:6" ht="15.75">
      <c r="A69" s="45"/>
      <c r="B69" s="45"/>
      <c r="C69" s="45"/>
      <c r="D69" s="45"/>
      <c r="E69" s="45"/>
      <c r="F69" s="45"/>
    </row>
    <row r="70" spans="1:6" ht="15.75">
      <c r="A70" s="45"/>
      <c r="B70" s="45"/>
      <c r="C70" s="45"/>
      <c r="D70" s="45"/>
      <c r="E70" s="45"/>
      <c r="F70" s="45"/>
    </row>
    <row r="71" spans="1:6" ht="15.75">
      <c r="A71" s="45"/>
      <c r="B71" s="45"/>
      <c r="C71" s="45"/>
      <c r="D71" s="45"/>
      <c r="E71" s="45"/>
      <c r="F71" s="45"/>
    </row>
    <row r="72" spans="1:6" ht="15.75">
      <c r="A72" s="45"/>
      <c r="B72" s="45"/>
      <c r="C72" s="45"/>
      <c r="D72" s="45"/>
      <c r="E72" s="45"/>
      <c r="F72" s="45"/>
    </row>
    <row r="73" spans="1:6" ht="15.75">
      <c r="A73" s="45"/>
      <c r="B73" s="45"/>
      <c r="C73" s="45"/>
      <c r="D73" s="45"/>
      <c r="E73" s="45"/>
      <c r="F73" s="45"/>
    </row>
    <row r="74" spans="1:6" ht="15.75">
      <c r="A74" s="45"/>
      <c r="B74" s="45"/>
      <c r="C74" s="45"/>
      <c r="D74" s="45"/>
      <c r="E74" s="45"/>
      <c r="F74" s="45"/>
    </row>
    <row r="75" spans="1:6" ht="15.75">
      <c r="A75" s="45"/>
      <c r="B75" s="45"/>
      <c r="C75" s="45"/>
      <c r="D75" s="45"/>
      <c r="E75" s="45"/>
      <c r="F75" s="45"/>
    </row>
    <row r="76" spans="1:6" ht="15.75">
      <c r="A76" s="45"/>
      <c r="B76" s="45"/>
      <c r="C76" s="45"/>
      <c r="D76" s="45"/>
      <c r="E76" s="45"/>
      <c r="F76" s="45"/>
    </row>
    <row r="77" spans="1:6" ht="15.75">
      <c r="A77" s="45"/>
      <c r="B77" s="45"/>
      <c r="C77" s="45"/>
      <c r="D77" s="45"/>
      <c r="E77" s="45"/>
      <c r="F77" s="45"/>
    </row>
    <row r="78" spans="1:6" ht="15.75">
      <c r="A78" s="45"/>
      <c r="B78" s="45"/>
      <c r="C78" s="45"/>
      <c r="D78" s="45"/>
      <c r="E78" s="45"/>
      <c r="F78" s="45"/>
    </row>
    <row r="79" spans="1:6" ht="15.75">
      <c r="A79" s="45"/>
      <c r="B79" s="45"/>
      <c r="C79" s="45"/>
      <c r="D79" s="45"/>
      <c r="E79" s="45"/>
      <c r="F79" s="45"/>
    </row>
    <row r="80" spans="1:6" ht="15.75">
      <c r="A80" s="45"/>
      <c r="B80" s="45"/>
      <c r="C80" s="45"/>
      <c r="D80" s="45"/>
      <c r="E80" s="45"/>
      <c r="F80" s="45"/>
    </row>
    <row r="81" spans="1:6" ht="15.75">
      <c r="A81" s="45"/>
      <c r="B81" s="45"/>
      <c r="C81" s="45"/>
      <c r="D81" s="45"/>
      <c r="E81" s="45"/>
      <c r="F81" s="45"/>
    </row>
    <row r="82" spans="1:6" ht="15.75">
      <c r="A82" s="45"/>
      <c r="B82" s="45"/>
      <c r="C82" s="45"/>
      <c r="D82" s="45"/>
      <c r="E82" s="45"/>
      <c r="F82" s="45"/>
    </row>
    <row r="83" spans="1:6" ht="15.75">
      <c r="A83" s="45"/>
      <c r="B83" s="45"/>
      <c r="C83" s="45"/>
      <c r="D83" s="45"/>
      <c r="E83" s="45"/>
      <c r="F83" s="45"/>
    </row>
    <row r="84" spans="1:6" ht="15.75">
      <c r="A84" s="45"/>
      <c r="B84" s="45"/>
      <c r="C84" s="45"/>
      <c r="D84" s="45"/>
      <c r="E84" s="45"/>
      <c r="F84" s="45"/>
    </row>
    <row r="85" spans="1:6" ht="15.75">
      <c r="A85" s="45"/>
      <c r="B85" s="45"/>
      <c r="C85" s="45"/>
      <c r="D85" s="45"/>
      <c r="E85" s="45"/>
      <c r="F85" s="45"/>
    </row>
    <row r="86" spans="1:6" ht="15.75">
      <c r="A86" s="45"/>
      <c r="B86" s="45"/>
      <c r="C86" s="45"/>
      <c r="D86" s="45"/>
      <c r="E86" s="45"/>
      <c r="F86" s="45"/>
    </row>
    <row r="87" spans="1:6" ht="15.75">
      <c r="A87" s="45"/>
      <c r="B87" s="45"/>
      <c r="C87" s="45"/>
      <c r="D87" s="45"/>
      <c r="E87" s="45"/>
      <c r="F87" s="45"/>
    </row>
    <row r="88" spans="1:6" ht="15.75">
      <c r="A88" s="45"/>
      <c r="B88" s="45"/>
      <c r="C88" s="45"/>
      <c r="D88" s="45"/>
      <c r="E88" s="45"/>
      <c r="F88" s="45"/>
    </row>
    <row r="89" spans="1:6" ht="15.75">
      <c r="A89" s="45"/>
      <c r="B89" s="45"/>
      <c r="C89" s="45"/>
      <c r="D89" s="45"/>
      <c r="E89" s="45"/>
      <c r="F89" s="45"/>
    </row>
    <row r="90" spans="1:6" ht="15.75">
      <c r="A90" s="45"/>
      <c r="B90" s="45"/>
      <c r="C90" s="45"/>
      <c r="D90" s="45"/>
      <c r="E90" s="45"/>
      <c r="F90" s="45"/>
    </row>
    <row r="91" spans="1:6" ht="15.75">
      <c r="A91" s="45"/>
      <c r="B91" s="45"/>
      <c r="C91" s="45"/>
      <c r="D91" s="45"/>
      <c r="E91" s="45"/>
      <c r="F91" s="45"/>
    </row>
    <row r="92" spans="1:6" ht="15.75">
      <c r="A92" s="45"/>
      <c r="B92" s="45"/>
      <c r="C92" s="45"/>
      <c r="D92" s="45"/>
      <c r="E92" s="45"/>
      <c r="F92" s="45"/>
    </row>
    <row r="93" spans="1:6" ht="15.75">
      <c r="A93" s="45"/>
      <c r="B93" s="45"/>
      <c r="C93" s="45"/>
      <c r="D93" s="45"/>
      <c r="E93" s="45"/>
      <c r="F93" s="45"/>
    </row>
    <row r="94" spans="1:6" ht="15.75">
      <c r="A94" s="45"/>
      <c r="B94" s="45"/>
      <c r="C94" s="45"/>
      <c r="D94" s="45"/>
      <c r="E94" s="45"/>
      <c r="F94" s="45"/>
    </row>
    <row r="95" spans="1:6" ht="15.75">
      <c r="A95" s="45"/>
      <c r="B95" s="45"/>
      <c r="C95" s="45"/>
      <c r="D95" s="45"/>
      <c r="E95" s="45"/>
      <c r="F95" s="45"/>
    </row>
    <row r="96" spans="1:6" ht="15.75">
      <c r="A96" s="45"/>
      <c r="B96" s="45"/>
      <c r="C96" s="45"/>
      <c r="D96" s="45"/>
      <c r="E96" s="45"/>
      <c r="F96" s="45"/>
    </row>
    <row r="97" spans="1:6" ht="15.75">
      <c r="A97" s="45"/>
      <c r="B97" s="45"/>
      <c r="C97" s="45"/>
      <c r="D97" s="45"/>
      <c r="E97" s="45"/>
      <c r="F97" s="45"/>
    </row>
    <row r="98" spans="1:6" ht="15.75">
      <c r="A98" s="45"/>
      <c r="B98" s="45"/>
      <c r="C98" s="45"/>
      <c r="D98" s="45"/>
      <c r="E98" s="45"/>
      <c r="F98" s="45"/>
    </row>
    <row r="99" spans="1:6" ht="15.75">
      <c r="A99" s="45"/>
      <c r="B99" s="45"/>
      <c r="C99" s="45"/>
      <c r="D99" s="45"/>
      <c r="E99" s="45"/>
      <c r="F99" s="45"/>
    </row>
    <row r="100" spans="1:6" ht="15.75">
      <c r="A100" s="45"/>
      <c r="B100" s="45"/>
      <c r="C100" s="45"/>
      <c r="D100" s="45"/>
      <c r="E100" s="45"/>
      <c r="F100" s="45"/>
    </row>
    <row r="101" spans="1:6" ht="15.75">
      <c r="A101" s="45"/>
      <c r="B101" s="45"/>
      <c r="C101" s="45"/>
      <c r="D101" s="45"/>
      <c r="E101" s="45"/>
      <c r="F101" s="45"/>
    </row>
    <row r="102" spans="1:6" ht="15.75">
      <c r="A102" s="45"/>
      <c r="B102" s="45"/>
      <c r="C102" s="45"/>
      <c r="D102" s="45"/>
      <c r="E102" s="45"/>
      <c r="F102" s="45"/>
    </row>
    <row r="103" spans="1:6" ht="15.75">
      <c r="A103" s="45"/>
      <c r="B103" s="45"/>
      <c r="C103" s="45"/>
      <c r="D103" s="45"/>
      <c r="E103" s="45"/>
      <c r="F103" s="45"/>
    </row>
  </sheetData>
  <sheetProtection password="EE36" sheet="1" formatCells="0" formatColumns="0" formatRows="0" insertColumns="0" insertRows="0" insertHyperlinks="0" deleteColumns="0" deleteRows="0" sort="0" autoFilter="0" pivotTables="0"/>
  <mergeCells count="19">
    <mergeCell ref="A26:D26"/>
    <mergeCell ref="A28:D28"/>
    <mergeCell ref="A29:D30"/>
    <mergeCell ref="E29:E30"/>
    <mergeCell ref="A19:D19"/>
    <mergeCell ref="A20:D20"/>
    <mergeCell ref="A21:D21"/>
    <mergeCell ref="A23:D23"/>
    <mergeCell ref="A24:D24"/>
    <mergeCell ref="A25:D25"/>
    <mergeCell ref="A4:F4"/>
    <mergeCell ref="B6:C7"/>
    <mergeCell ref="D6:E7"/>
    <mergeCell ref="F6:F7"/>
    <mergeCell ref="B8:B9"/>
    <mergeCell ref="C8:C9"/>
    <mergeCell ref="D8:D9"/>
    <mergeCell ref="E8:E9"/>
    <mergeCell ref="F8:F9"/>
  </mergeCells>
  <printOptions horizontalCentered="1"/>
  <pageMargins left="0.7086614173228346" right="0.7086614173228346" top="0.41" bottom="0.41" header="0.22" footer="0.15"/>
  <pageSetup horizontalDpi="600" verticalDpi="600" orientation="landscape" paperSize="9" r:id="rId1"/>
  <headerFooter alignWithMargins="0">
    <oddHeader>&amp;C&amp;P. oldal</oddHeader>
  </headerFooter>
</worksheet>
</file>

<file path=xl/worksheets/sheet7.xml><?xml version="1.0" encoding="utf-8"?>
<worksheet xmlns="http://schemas.openxmlformats.org/spreadsheetml/2006/main" xmlns:r="http://schemas.openxmlformats.org/officeDocument/2006/relationships">
  <dimension ref="A1:F39"/>
  <sheetViews>
    <sheetView showGridLines="0" zoomScale="70" zoomScaleNormal="70" zoomScalePageLayoutView="0" workbookViewId="0" topLeftCell="A1">
      <selection activeCell="F25" sqref="F25"/>
    </sheetView>
  </sheetViews>
  <sheetFormatPr defaultColWidth="9.140625" defaultRowHeight="12.75"/>
  <cols>
    <col min="1" max="1" width="55.7109375" style="0" customWidth="1"/>
    <col min="2" max="2" width="12.7109375" style="0" customWidth="1"/>
    <col min="3" max="3" width="11.28125" style="0" customWidth="1"/>
    <col min="4" max="4" width="12.57421875" style="0" customWidth="1"/>
  </cols>
  <sheetData>
    <row r="1" spans="1:6" ht="15.75">
      <c r="A1" s="1"/>
      <c r="B1" s="1"/>
      <c r="C1" s="1"/>
      <c r="D1" s="1"/>
      <c r="E1" s="1"/>
      <c r="F1" s="1"/>
    </row>
    <row r="2" spans="1:6" ht="15.75">
      <c r="A2" s="1"/>
      <c r="B2" s="1"/>
      <c r="C2" s="1"/>
      <c r="D2" s="11" t="s">
        <v>123</v>
      </c>
      <c r="E2" s="1"/>
      <c r="F2" s="1"/>
    </row>
    <row r="3" spans="1:6" ht="15.75">
      <c r="A3" s="2"/>
      <c r="B3" s="1"/>
      <c r="C3" s="1"/>
      <c r="D3" s="1"/>
      <c r="E3" s="1"/>
      <c r="F3" s="1"/>
    </row>
    <row r="4" spans="1:6" ht="18.75">
      <c r="A4" s="492" t="s">
        <v>122</v>
      </c>
      <c r="B4" s="492"/>
      <c r="C4" s="492"/>
      <c r="D4" s="492"/>
      <c r="E4" s="1"/>
      <c r="F4" s="1"/>
    </row>
    <row r="5" spans="1:6" ht="15.75">
      <c r="A5" s="493" t="s">
        <v>130</v>
      </c>
      <c r="B5" s="493"/>
      <c r="C5" s="493"/>
      <c r="D5" s="493"/>
      <c r="E5" s="1"/>
      <c r="F5" s="1"/>
    </row>
    <row r="6" spans="1:6" ht="15.75">
      <c r="A6" s="2"/>
      <c r="B6" s="1"/>
      <c r="C6" s="1"/>
      <c r="D6" s="1"/>
      <c r="E6" s="1"/>
      <c r="F6" s="1"/>
    </row>
    <row r="7" spans="1:6" ht="15.75">
      <c r="A7" s="1"/>
      <c r="B7" s="1"/>
      <c r="C7" s="1"/>
      <c r="D7" s="11" t="s">
        <v>0</v>
      </c>
      <c r="E7" s="1"/>
      <c r="F7" s="1"/>
    </row>
    <row r="8" spans="1:6" ht="16.5" customHeight="1">
      <c r="A8" s="494" t="s">
        <v>24</v>
      </c>
      <c r="B8" s="495" t="s">
        <v>37</v>
      </c>
      <c r="C8" s="496" t="s">
        <v>21</v>
      </c>
      <c r="D8" s="496" t="s">
        <v>25</v>
      </c>
      <c r="E8" s="1"/>
      <c r="F8" s="1"/>
    </row>
    <row r="9" spans="1:6" ht="15.75" customHeight="1">
      <c r="A9" s="494"/>
      <c r="B9" s="495"/>
      <c r="C9" s="496"/>
      <c r="D9" s="496"/>
      <c r="E9" s="1"/>
      <c r="F9" s="1"/>
    </row>
    <row r="10" spans="1:6" ht="15.75">
      <c r="A10" s="22"/>
      <c r="B10" s="486"/>
      <c r="C10" s="487"/>
      <c r="D10" s="488"/>
      <c r="E10" s="1"/>
      <c r="F10" s="1"/>
    </row>
    <row r="11" spans="1:6" ht="15.75">
      <c r="A11" s="9"/>
      <c r="B11" s="13"/>
      <c r="C11" s="13"/>
      <c r="D11" s="13"/>
      <c r="E11" s="1"/>
      <c r="F11" s="1"/>
    </row>
    <row r="12" spans="1:6" ht="15.75">
      <c r="A12" s="9"/>
      <c r="B12" s="13"/>
      <c r="C12" s="13"/>
      <c r="D12" s="13"/>
      <c r="E12" s="1"/>
      <c r="F12" s="1"/>
    </row>
    <row r="13" spans="1:6" ht="15.75">
      <c r="A13" s="9"/>
      <c r="B13" s="13"/>
      <c r="C13" s="13"/>
      <c r="D13" s="13"/>
      <c r="E13" s="1"/>
      <c r="F13" s="1"/>
    </row>
    <row r="14" spans="1:6" ht="15.75">
      <c r="A14" s="9"/>
      <c r="B14" s="13"/>
      <c r="C14" s="13"/>
      <c r="D14" s="13"/>
      <c r="E14" s="1"/>
      <c r="F14" s="1"/>
    </row>
    <row r="15" spans="1:6" ht="15.75">
      <c r="A15" s="9"/>
      <c r="B15" s="13"/>
      <c r="C15" s="13"/>
      <c r="D15" s="13"/>
      <c r="E15" s="1"/>
      <c r="F15" s="1"/>
    </row>
    <row r="16" spans="1:6" ht="15.75">
      <c r="A16" s="52" t="s">
        <v>138</v>
      </c>
      <c r="B16" s="13"/>
      <c r="C16" s="13"/>
      <c r="D16" s="13"/>
      <c r="E16" s="1"/>
      <c r="F16" s="1"/>
    </row>
    <row r="17" spans="1:6" ht="15.75">
      <c r="A17" s="22"/>
      <c r="B17" s="489"/>
      <c r="C17" s="490"/>
      <c r="D17" s="491"/>
      <c r="E17" s="1"/>
      <c r="F17" s="1"/>
    </row>
    <row r="18" spans="1:6" ht="15.75">
      <c r="A18" s="9"/>
      <c r="B18" s="13"/>
      <c r="C18" s="13"/>
      <c r="D18" s="13"/>
      <c r="E18" s="1"/>
      <c r="F18" s="1"/>
    </row>
    <row r="19" spans="1:6" ht="15.75">
      <c r="A19" s="9"/>
      <c r="B19" s="13"/>
      <c r="C19" s="13"/>
      <c r="D19" s="13"/>
      <c r="E19" s="1"/>
      <c r="F19" s="1"/>
    </row>
    <row r="20" spans="1:6" ht="15.75">
      <c r="A20" s="9"/>
      <c r="B20" s="13"/>
      <c r="C20" s="13"/>
      <c r="D20" s="13"/>
      <c r="E20" s="1"/>
      <c r="F20" s="1"/>
    </row>
    <row r="21" spans="1:6" ht="15.75">
      <c r="A21" s="9"/>
      <c r="B21" s="13"/>
      <c r="C21" s="13"/>
      <c r="D21" s="13"/>
      <c r="E21" s="1"/>
      <c r="F21" s="1"/>
    </row>
    <row r="22" spans="1:6" ht="15.75">
      <c r="A22" s="9"/>
      <c r="B22" s="13"/>
      <c r="C22" s="13"/>
      <c r="D22" s="13"/>
      <c r="E22" s="1"/>
      <c r="F22" s="1"/>
    </row>
    <row r="23" spans="1:6" ht="15.75">
      <c r="A23" s="9"/>
      <c r="B23" s="13"/>
      <c r="C23" s="13"/>
      <c r="D23" s="13"/>
      <c r="E23" s="1"/>
      <c r="F23" s="1"/>
    </row>
    <row r="24" spans="1:6" ht="15.75">
      <c r="A24" s="22"/>
      <c r="B24" s="489"/>
      <c r="C24" s="490"/>
      <c r="D24" s="491"/>
      <c r="E24" s="1"/>
      <c r="F24" s="1"/>
    </row>
    <row r="25" spans="1:6" ht="15.75">
      <c r="A25" s="24" t="s">
        <v>28</v>
      </c>
      <c r="B25" s="13">
        <f>+SUM(B18:B23)+SUM(B11:B16)</f>
        <v>0</v>
      </c>
      <c r="C25" s="13">
        <f>+SUM(C18:C23)+SUM(C11:C16)</f>
        <v>0</v>
      </c>
      <c r="D25" s="13">
        <f>+SUM(D18:D23)+SUM(D11:D16)</f>
        <v>0</v>
      </c>
      <c r="E25" s="1"/>
      <c r="F25" s="1"/>
    </row>
    <row r="26" spans="1:6" ht="15.75">
      <c r="A26" s="20"/>
      <c r="B26" s="1"/>
      <c r="C26" s="1"/>
      <c r="D26" s="1"/>
      <c r="E26" s="1"/>
      <c r="F26" s="1"/>
    </row>
    <row r="27" spans="1:6" ht="15.75" customHeight="1">
      <c r="A27" s="37" t="s">
        <v>83</v>
      </c>
      <c r="B27" s="36"/>
      <c r="C27" s="36"/>
      <c r="D27" s="36"/>
      <c r="E27" s="1"/>
      <c r="F27" s="1"/>
    </row>
    <row r="28" spans="1:6" ht="15.75">
      <c r="A28" s="36"/>
      <c r="B28" s="36"/>
      <c r="C28" s="36"/>
      <c r="D28" s="36"/>
      <c r="E28" s="1"/>
      <c r="F28" s="1"/>
    </row>
    <row r="29" spans="1:6" ht="15.75">
      <c r="A29" s="1"/>
      <c r="B29" s="1"/>
      <c r="C29" s="1"/>
      <c r="D29" s="1"/>
      <c r="E29" s="1"/>
      <c r="F29" s="1"/>
    </row>
    <row r="30" spans="1:6" ht="15.75">
      <c r="A30" s="1"/>
      <c r="B30" s="1"/>
      <c r="C30" s="1"/>
      <c r="D30" s="1"/>
      <c r="E30" s="1"/>
      <c r="F30" s="1"/>
    </row>
    <row r="31" spans="1:6" ht="15.75">
      <c r="A31" s="1"/>
      <c r="B31" s="1"/>
      <c r="C31" s="1"/>
      <c r="D31" s="1"/>
      <c r="E31" s="1"/>
      <c r="F31" s="1"/>
    </row>
    <row r="32" spans="1:6" ht="15.75">
      <c r="A32" s="1"/>
      <c r="B32" s="1"/>
      <c r="C32" s="1"/>
      <c r="D32" s="1"/>
      <c r="E32" s="1"/>
      <c r="F32" s="1"/>
    </row>
    <row r="33" spans="1:6" ht="15.75">
      <c r="A33" s="1"/>
      <c r="B33" s="1"/>
      <c r="C33" s="1"/>
      <c r="D33" s="1"/>
      <c r="E33" s="1"/>
      <c r="F33" s="1"/>
    </row>
    <row r="34" spans="1:6" ht="15.75">
      <c r="A34" s="1"/>
      <c r="B34" s="1"/>
      <c r="C34" s="1"/>
      <c r="D34" s="1"/>
      <c r="E34" s="1"/>
      <c r="F34" s="1"/>
    </row>
    <row r="35" spans="1:6" ht="15.75">
      <c r="A35" s="1"/>
      <c r="B35" s="1"/>
      <c r="C35" s="1"/>
      <c r="D35" s="1"/>
      <c r="E35" s="1"/>
      <c r="F35" s="1"/>
    </row>
    <row r="36" spans="1:6" ht="15.75">
      <c r="A36" s="1"/>
      <c r="B36" s="1"/>
      <c r="C36" s="1"/>
      <c r="D36" s="1"/>
      <c r="E36" s="1"/>
      <c r="F36" s="1"/>
    </row>
    <row r="37" spans="1:6" ht="15.75">
      <c r="A37" s="1"/>
      <c r="B37" s="1"/>
      <c r="C37" s="1"/>
      <c r="D37" s="1"/>
      <c r="E37" s="1"/>
      <c r="F37" s="1"/>
    </row>
    <row r="38" spans="1:6" ht="15.75">
      <c r="A38" s="1"/>
      <c r="B38" s="1"/>
      <c r="C38" s="1"/>
      <c r="D38" s="1"/>
      <c r="E38" s="1"/>
      <c r="F38" s="1"/>
    </row>
    <row r="39" spans="1:6" ht="15.75">
      <c r="A39" s="1"/>
      <c r="B39" s="1"/>
      <c r="C39" s="1"/>
      <c r="D39" s="1"/>
      <c r="E39" s="1"/>
      <c r="F39" s="1"/>
    </row>
  </sheetData>
  <sheetProtection password="EE36" sheet="1" formatCells="0" formatColumns="0" formatRows="0" insertColumns="0" insertRows="0" insertHyperlinks="0" deleteColumns="0" deleteRows="0" sort="0" autoFilter="0" pivotTables="0"/>
  <mergeCells count="9">
    <mergeCell ref="B10:D10"/>
    <mergeCell ref="B17:D17"/>
    <mergeCell ref="B24:D24"/>
    <mergeCell ref="A4:D4"/>
    <mergeCell ref="A5:D5"/>
    <mergeCell ref="A8:A9"/>
    <mergeCell ref="B8:B9"/>
    <mergeCell ref="C8:C9"/>
    <mergeCell ref="D8:D9"/>
  </mergeCells>
  <printOptions horizontalCentered="1"/>
  <pageMargins left="0.3937007874015748" right="0.3937007874015748" top="0.7874015748031497" bottom="0.5905511811023623" header="0.5118110236220472" footer="0.5118110236220472"/>
  <pageSetup horizontalDpi="600" verticalDpi="600" orientation="portrait" paperSize="9" r:id="rId1"/>
  <headerFooter alignWithMargins="0">
    <oddHeader>&amp;C2. oldal</oddHeader>
  </headerFooter>
</worksheet>
</file>

<file path=xl/worksheets/sheet8.xml><?xml version="1.0" encoding="utf-8"?>
<worksheet xmlns="http://schemas.openxmlformats.org/spreadsheetml/2006/main" xmlns:r="http://schemas.openxmlformats.org/officeDocument/2006/relationships">
  <dimension ref="A1:F42"/>
  <sheetViews>
    <sheetView showGridLines="0" zoomScale="70" zoomScaleNormal="70" zoomScalePageLayoutView="0" workbookViewId="0" topLeftCell="A1">
      <selection activeCell="F25" sqref="F25"/>
    </sheetView>
  </sheetViews>
  <sheetFormatPr defaultColWidth="9.140625" defaultRowHeight="12.75"/>
  <cols>
    <col min="1" max="1" width="55.7109375" style="0" customWidth="1"/>
    <col min="2" max="4" width="11.28125" style="0" customWidth="1"/>
  </cols>
  <sheetData>
    <row r="1" spans="1:6" ht="15.75">
      <c r="A1" s="1"/>
      <c r="B1" s="1"/>
      <c r="C1" s="1"/>
      <c r="D1" s="1"/>
      <c r="E1" s="1"/>
      <c r="F1" s="1"/>
    </row>
    <row r="2" spans="1:6" ht="15.75">
      <c r="A2" s="1"/>
      <c r="B2" s="1"/>
      <c r="C2" s="1"/>
      <c r="D2" s="11" t="s">
        <v>22</v>
      </c>
      <c r="E2" s="1"/>
      <c r="F2" s="1"/>
    </row>
    <row r="3" spans="1:6" ht="15.75">
      <c r="A3" s="2"/>
      <c r="B3" s="1"/>
      <c r="C3" s="1"/>
      <c r="D3" s="1"/>
      <c r="E3" s="1"/>
      <c r="F3" s="1"/>
    </row>
    <row r="4" spans="1:6" ht="18.75">
      <c r="A4" s="492" t="s">
        <v>122</v>
      </c>
      <c r="B4" s="492"/>
      <c r="C4" s="492"/>
      <c r="D4" s="492"/>
      <c r="E4" s="1"/>
      <c r="F4" s="1"/>
    </row>
    <row r="5" spans="1:6" ht="15.75">
      <c r="A5" s="493" t="s">
        <v>23</v>
      </c>
      <c r="B5" s="493"/>
      <c r="C5" s="493"/>
      <c r="D5" s="493"/>
      <c r="E5" s="1"/>
      <c r="F5" s="1"/>
    </row>
    <row r="6" spans="1:6" ht="15.75">
      <c r="A6" s="2"/>
      <c r="B6" s="1"/>
      <c r="C6" s="1"/>
      <c r="D6" s="1"/>
      <c r="E6" s="1"/>
      <c r="F6" s="1"/>
    </row>
    <row r="7" spans="1:6" ht="15.75">
      <c r="A7" s="1"/>
      <c r="B7" s="1"/>
      <c r="C7" s="1"/>
      <c r="D7" s="11" t="s">
        <v>0</v>
      </c>
      <c r="E7" s="1"/>
      <c r="F7" s="1"/>
    </row>
    <row r="8" spans="1:6" ht="16.5" customHeight="1">
      <c r="A8" s="494" t="s">
        <v>24</v>
      </c>
      <c r="B8" s="495" t="s">
        <v>37</v>
      </c>
      <c r="C8" s="496" t="s">
        <v>21</v>
      </c>
      <c r="D8" s="496" t="s">
        <v>25</v>
      </c>
      <c r="E8" s="1"/>
      <c r="F8" s="1"/>
    </row>
    <row r="9" spans="1:6" ht="15.75" customHeight="1">
      <c r="A9" s="494"/>
      <c r="B9" s="495"/>
      <c r="C9" s="496"/>
      <c r="D9" s="496"/>
      <c r="E9" s="1"/>
      <c r="F9" s="1"/>
    </row>
    <row r="10" spans="1:6" ht="15.75">
      <c r="A10" s="22" t="s">
        <v>26</v>
      </c>
      <c r="B10" s="486"/>
      <c r="C10" s="487"/>
      <c r="D10" s="488"/>
      <c r="E10" s="1"/>
      <c r="F10" s="1"/>
    </row>
    <row r="11" spans="1:6" ht="15.75">
      <c r="A11" s="9" t="s">
        <v>139</v>
      </c>
      <c r="B11" s="13">
        <v>50000</v>
      </c>
      <c r="C11" s="13">
        <v>50000</v>
      </c>
      <c r="D11" s="13">
        <f>B11-C11</f>
        <v>0</v>
      </c>
      <c r="E11" s="1"/>
      <c r="F11" s="1"/>
    </row>
    <row r="12" spans="1:6" ht="15.75">
      <c r="A12" s="9" t="s">
        <v>140</v>
      </c>
      <c r="B12" s="13">
        <f>209750-38812</f>
        <v>170938</v>
      </c>
      <c r="C12" s="13">
        <f>B12-2023</f>
        <v>168915</v>
      </c>
      <c r="D12" s="13">
        <f>B12-C12</f>
        <v>2023</v>
      </c>
      <c r="E12" s="1"/>
      <c r="F12" s="1"/>
    </row>
    <row r="13" spans="1:6" ht="15.75">
      <c r="A13" s="9" t="s">
        <v>141</v>
      </c>
      <c r="B13" s="13">
        <v>130508</v>
      </c>
      <c r="C13" s="13">
        <v>98553</v>
      </c>
      <c r="D13" s="13">
        <f aca="true" t="shared" si="0" ref="D13:D19">B13-C13</f>
        <v>31955</v>
      </c>
      <c r="E13" s="1"/>
      <c r="F13" s="1"/>
    </row>
    <row r="14" spans="1:6" ht="15.75">
      <c r="A14" s="9" t="s">
        <v>142</v>
      </c>
      <c r="B14" s="13">
        <v>449099</v>
      </c>
      <c r="C14" s="13">
        <v>279816</v>
      </c>
      <c r="D14" s="13">
        <f t="shared" si="0"/>
        <v>169283</v>
      </c>
      <c r="E14" s="1"/>
      <c r="F14" s="1"/>
    </row>
    <row r="15" spans="1:6" ht="15.75">
      <c r="A15" s="9" t="s">
        <v>143</v>
      </c>
      <c r="B15" s="13">
        <f>575759+89221</f>
        <v>664980</v>
      </c>
      <c r="C15" s="13">
        <f>B15</f>
        <v>664980</v>
      </c>
      <c r="D15" s="13">
        <f t="shared" si="0"/>
        <v>0</v>
      </c>
      <c r="E15" s="1"/>
      <c r="F15" s="1"/>
    </row>
    <row r="16" spans="1:6" ht="15.75">
      <c r="A16" s="9" t="s">
        <v>144</v>
      </c>
      <c r="B16" s="13">
        <f>584454+37845</f>
        <v>622299</v>
      </c>
      <c r="C16" s="13">
        <f>B16</f>
        <v>622299</v>
      </c>
      <c r="D16" s="13">
        <f t="shared" si="0"/>
        <v>0</v>
      </c>
      <c r="E16" s="1"/>
      <c r="F16" s="1"/>
    </row>
    <row r="17" spans="1:6" ht="15.75">
      <c r="A17" s="9" t="s">
        <v>145</v>
      </c>
      <c r="B17" s="13">
        <v>170785</v>
      </c>
      <c r="C17" s="13">
        <f>B17</f>
        <v>170785</v>
      </c>
      <c r="D17" s="13">
        <f t="shared" si="0"/>
        <v>0</v>
      </c>
      <c r="E17" s="1"/>
      <c r="F17" s="1"/>
    </row>
    <row r="18" spans="1:6" ht="15.75">
      <c r="A18" s="9" t="s">
        <v>146</v>
      </c>
      <c r="B18" s="13">
        <f>1211400+788800+62388</f>
        <v>2062588</v>
      </c>
      <c r="C18" s="13">
        <f>B18</f>
        <v>2062588</v>
      </c>
      <c r="D18" s="13">
        <f t="shared" si="0"/>
        <v>0</v>
      </c>
      <c r="E18" s="1"/>
      <c r="F18" s="1"/>
    </row>
    <row r="19" spans="1:6" ht="15.75">
      <c r="A19" s="9"/>
      <c r="B19" s="13"/>
      <c r="C19" s="13"/>
      <c r="D19" s="13">
        <f t="shared" si="0"/>
        <v>0</v>
      </c>
      <c r="E19" s="1"/>
      <c r="F19" s="1"/>
    </row>
    <row r="20" spans="1:6" ht="15.75">
      <c r="A20" s="22" t="s">
        <v>27</v>
      </c>
      <c r="B20" s="489"/>
      <c r="C20" s="490"/>
      <c r="D20" s="491"/>
      <c r="E20" s="1"/>
      <c r="F20" s="1"/>
    </row>
    <row r="21" spans="1:6" ht="15.75">
      <c r="A21" s="9" t="s">
        <v>137</v>
      </c>
      <c r="B21" s="13"/>
      <c r="C21" s="13"/>
      <c r="D21" s="13"/>
      <c r="E21" s="1"/>
      <c r="F21" s="1"/>
    </row>
    <row r="22" spans="1:6" ht="15.75">
      <c r="A22" s="9"/>
      <c r="B22" s="13"/>
      <c r="C22" s="13"/>
      <c r="D22" s="13"/>
      <c r="E22" s="1"/>
      <c r="F22" s="1"/>
    </row>
    <row r="23" spans="1:6" ht="15.75">
      <c r="A23" s="9"/>
      <c r="B23" s="13"/>
      <c r="C23" s="13"/>
      <c r="D23" s="13"/>
      <c r="E23" s="1"/>
      <c r="F23" s="1"/>
    </row>
    <row r="24" spans="1:6" ht="15.75">
      <c r="A24" s="9"/>
      <c r="B24" s="13"/>
      <c r="C24" s="13"/>
      <c r="D24" s="13"/>
      <c r="E24" s="1"/>
      <c r="F24" s="1"/>
    </row>
    <row r="25" spans="1:6" ht="15.75">
      <c r="A25" s="9"/>
      <c r="B25" s="13"/>
      <c r="C25" s="13"/>
      <c r="D25" s="13"/>
      <c r="E25" s="1"/>
      <c r="F25" s="1"/>
    </row>
    <row r="26" spans="1:6" ht="15.75">
      <c r="A26" s="9"/>
      <c r="B26" s="13"/>
      <c r="C26" s="13"/>
      <c r="D26" s="13"/>
      <c r="E26" s="1"/>
      <c r="F26" s="1"/>
    </row>
    <row r="27" spans="1:6" ht="15.75">
      <c r="A27" s="22"/>
      <c r="B27" s="489"/>
      <c r="C27" s="490"/>
      <c r="D27" s="491"/>
      <c r="E27" s="1"/>
      <c r="F27" s="1"/>
    </row>
    <row r="28" spans="1:6" ht="15.75">
      <c r="A28" s="24" t="s">
        <v>28</v>
      </c>
      <c r="B28" s="13">
        <f>+SUM(B21:B26)+SUM(B11:B19)</f>
        <v>4321197</v>
      </c>
      <c r="C28" s="13">
        <f>+SUM(C21:C26)+SUM(C11:C19)</f>
        <v>4117936</v>
      </c>
      <c r="D28" s="13">
        <f>+SUM(D21:D26)+SUM(D11:D19)</f>
        <v>203261</v>
      </c>
      <c r="E28" s="1"/>
      <c r="F28" s="1"/>
    </row>
    <row r="29" spans="1:6" ht="15.75">
      <c r="A29" s="20"/>
      <c r="B29" s="1"/>
      <c r="C29" s="1"/>
      <c r="D29" s="1"/>
      <c r="E29" s="1"/>
      <c r="F29" s="1"/>
    </row>
    <row r="30" spans="1:6" ht="15.75" customHeight="1">
      <c r="A30" s="37" t="s">
        <v>83</v>
      </c>
      <c r="B30" s="36"/>
      <c r="C30" s="36"/>
      <c r="D30" s="36"/>
      <c r="E30" s="1"/>
      <c r="F30" s="1"/>
    </row>
    <row r="31" spans="1:6" ht="15.75">
      <c r="A31" s="36"/>
      <c r="B31" s="36"/>
      <c r="C31" s="36"/>
      <c r="D31" s="36"/>
      <c r="E31" s="1"/>
      <c r="F31" s="1"/>
    </row>
    <row r="32" spans="1:6" ht="15.75">
      <c r="A32" s="1"/>
      <c r="B32" s="1"/>
      <c r="C32" s="1"/>
      <c r="D32" s="1"/>
      <c r="E32" s="1"/>
      <c r="F32" s="1"/>
    </row>
    <row r="33" spans="1:6" ht="15.75">
      <c r="A33" s="1"/>
      <c r="B33" s="1"/>
      <c r="C33" s="1"/>
      <c r="D33" s="1"/>
      <c r="E33" s="1"/>
      <c r="F33" s="1"/>
    </row>
    <row r="34" spans="1:6" ht="15.75">
      <c r="A34" s="1"/>
      <c r="B34" s="1"/>
      <c r="C34" s="1"/>
      <c r="D34" s="1"/>
      <c r="E34" s="1"/>
      <c r="F34" s="1"/>
    </row>
    <row r="35" spans="1:6" ht="15.75">
      <c r="A35" s="1"/>
      <c r="B35" s="1"/>
      <c r="C35" s="1"/>
      <c r="D35" s="1"/>
      <c r="E35" s="1"/>
      <c r="F35" s="1"/>
    </row>
    <row r="36" spans="1:6" ht="15.75">
      <c r="A36" s="1"/>
      <c r="B36" s="1"/>
      <c r="C36" s="1"/>
      <c r="D36" s="1"/>
      <c r="E36" s="1"/>
      <c r="F36" s="1"/>
    </row>
    <row r="37" spans="1:6" ht="15.75">
      <c r="A37" s="1"/>
      <c r="B37" s="1"/>
      <c r="C37" s="1"/>
      <c r="D37" s="1"/>
      <c r="E37" s="1"/>
      <c r="F37" s="1"/>
    </row>
    <row r="38" spans="1:6" ht="15.75">
      <c r="A38" s="1"/>
      <c r="B38" s="1"/>
      <c r="C38" s="1"/>
      <c r="D38" s="1"/>
      <c r="E38" s="1"/>
      <c r="F38" s="1"/>
    </row>
    <row r="39" spans="1:6" ht="15.75">
      <c r="A39" s="1"/>
      <c r="B39" s="1"/>
      <c r="C39" s="1"/>
      <c r="D39" s="1"/>
      <c r="E39" s="1"/>
      <c r="F39" s="1"/>
    </row>
    <row r="40" spans="1:6" ht="15.75">
      <c r="A40" s="1"/>
      <c r="B40" s="1"/>
      <c r="C40" s="1"/>
      <c r="D40" s="1"/>
      <c r="E40" s="1"/>
      <c r="F40" s="1"/>
    </row>
    <row r="41" spans="1:6" ht="15.75">
      <c r="A41" s="1"/>
      <c r="B41" s="1"/>
      <c r="C41" s="1"/>
      <c r="D41" s="1"/>
      <c r="E41" s="1"/>
      <c r="F41" s="1"/>
    </row>
    <row r="42" spans="1:6" ht="15.75">
      <c r="A42" s="1"/>
      <c r="B42" s="1"/>
      <c r="C42" s="1"/>
      <c r="D42" s="1"/>
      <c r="E42" s="1"/>
      <c r="F42" s="1"/>
    </row>
  </sheetData>
  <sheetProtection password="EE36" sheet="1" formatCells="0" formatColumns="0" formatRows="0" insertColumns="0" insertRows="0" insertHyperlinks="0" deleteColumns="0" deleteRows="0" sort="0" autoFilter="0" pivotTables="0"/>
  <mergeCells count="9">
    <mergeCell ref="B27:D27"/>
    <mergeCell ref="B10:D10"/>
    <mergeCell ref="B8:B9"/>
    <mergeCell ref="A4:D4"/>
    <mergeCell ref="A5:D5"/>
    <mergeCell ref="C8:C9"/>
    <mergeCell ref="D8:D9"/>
    <mergeCell ref="A8:A9"/>
    <mergeCell ref="B20:D20"/>
  </mergeCells>
  <printOptions horizontalCentered="1"/>
  <pageMargins left="0.3937007874015748" right="0.3937007874015748" top="0.7874015748031497" bottom="0.5905511811023623" header="0.5118110236220472" footer="0.5118110236220472"/>
  <pageSetup horizontalDpi="600" verticalDpi="600" orientation="portrait" paperSize="9" r:id="rId1"/>
  <headerFooter alignWithMargins="0">
    <oddHeader>&amp;C2. oldal</oddHeader>
  </headerFooter>
</worksheet>
</file>

<file path=xl/worksheets/sheet9.xml><?xml version="1.0" encoding="utf-8"?>
<worksheet xmlns="http://schemas.openxmlformats.org/spreadsheetml/2006/main" xmlns:r="http://schemas.openxmlformats.org/officeDocument/2006/relationships">
  <dimension ref="A1:G26"/>
  <sheetViews>
    <sheetView showGridLines="0" zoomScale="85" zoomScaleNormal="85" zoomScalePageLayoutView="0" workbookViewId="0" topLeftCell="A1">
      <selection activeCell="D8" sqref="D8"/>
    </sheetView>
  </sheetViews>
  <sheetFormatPr defaultColWidth="9.140625" defaultRowHeight="12.75"/>
  <cols>
    <col min="1" max="1" width="55.7109375" style="0" customWidth="1"/>
    <col min="2" max="4" width="11.28125" style="0" customWidth="1"/>
  </cols>
  <sheetData>
    <row r="1" spans="1:6" ht="15.75">
      <c r="A1" s="36"/>
      <c r="B1" s="36"/>
      <c r="C1" s="36"/>
      <c r="D1" s="36"/>
      <c r="E1" s="1"/>
      <c r="F1" s="1"/>
    </row>
    <row r="2" spans="1:6" ht="15.75">
      <c r="A2" s="1"/>
      <c r="B2" s="1"/>
      <c r="C2" s="1"/>
      <c r="D2" s="1"/>
      <c r="E2" s="1"/>
      <c r="F2" s="1"/>
    </row>
    <row r="3" spans="2:6" ht="15.75">
      <c r="B3" s="1"/>
      <c r="C3" s="1"/>
      <c r="D3" s="11" t="s">
        <v>29</v>
      </c>
      <c r="E3" s="1"/>
      <c r="F3" s="1"/>
    </row>
    <row r="4" spans="1:6" ht="18.75">
      <c r="A4" s="492" t="s">
        <v>30</v>
      </c>
      <c r="B4" s="492"/>
      <c r="C4" s="492"/>
      <c r="D4" s="492"/>
      <c r="E4" s="1"/>
      <c r="F4" s="1"/>
    </row>
    <row r="5" spans="1:6" ht="18.75">
      <c r="A5" s="4"/>
      <c r="B5" s="4"/>
      <c r="C5" s="4"/>
      <c r="D5" s="4"/>
      <c r="E5" s="1"/>
      <c r="F5" s="1"/>
    </row>
    <row r="6" spans="1:6" ht="15.75">
      <c r="A6" s="16"/>
      <c r="B6" s="1"/>
      <c r="C6" s="1"/>
      <c r="D6" s="11" t="s">
        <v>0</v>
      </c>
      <c r="E6" s="1"/>
      <c r="F6" s="1"/>
    </row>
    <row r="7" spans="1:6" ht="15.75">
      <c r="A7" s="21" t="s">
        <v>31</v>
      </c>
      <c r="B7" s="21"/>
      <c r="C7" s="21"/>
      <c r="D7" s="13">
        <v>186132</v>
      </c>
      <c r="E7" s="1"/>
      <c r="F7" s="1"/>
    </row>
    <row r="8" spans="1:6" ht="15.75">
      <c r="A8" s="497" t="s">
        <v>32</v>
      </c>
      <c r="B8" s="497"/>
      <c r="C8" s="497"/>
      <c r="D8" s="13">
        <v>0</v>
      </c>
      <c r="E8" s="1"/>
      <c r="F8" s="1"/>
    </row>
    <row r="9" spans="1:6" ht="15.75">
      <c r="A9" s="497" t="s">
        <v>33</v>
      </c>
      <c r="B9" s="497"/>
      <c r="C9" s="497"/>
      <c r="D9" s="13">
        <v>0</v>
      </c>
      <c r="E9" s="1"/>
      <c r="F9" s="1"/>
    </row>
    <row r="10" spans="1:6" ht="15.75">
      <c r="A10" s="18"/>
      <c r="B10" s="1"/>
      <c r="C10" s="1"/>
      <c r="D10" s="26"/>
      <c r="E10" s="1"/>
      <c r="F10" s="1"/>
    </row>
    <row r="11" spans="1:6" ht="15.75">
      <c r="A11" s="21" t="s">
        <v>147</v>
      </c>
      <c r="B11" s="21"/>
      <c r="C11" s="21"/>
      <c r="D11" s="13">
        <v>22200</v>
      </c>
      <c r="E11" s="19"/>
      <c r="F11" s="1"/>
    </row>
    <row r="12" spans="1:7" ht="15.75">
      <c r="A12" s="497" t="s">
        <v>34</v>
      </c>
      <c r="B12" s="497"/>
      <c r="C12" s="497"/>
      <c r="D12" s="13">
        <v>50380</v>
      </c>
      <c r="E12" s="1"/>
      <c r="F12" s="1"/>
      <c r="G12" s="15"/>
    </row>
    <row r="13" spans="1:6" ht="15.75">
      <c r="A13" s="497" t="s">
        <v>35</v>
      </c>
      <c r="B13" s="497"/>
      <c r="C13" s="497"/>
      <c r="D13" s="13">
        <v>3908</v>
      </c>
      <c r="E13" s="18"/>
      <c r="F13" s="1"/>
    </row>
    <row r="14" spans="1:6" ht="15.75">
      <c r="A14" s="3" t="s">
        <v>36</v>
      </c>
      <c r="B14" s="3"/>
      <c r="C14" s="3"/>
      <c r="D14" s="53">
        <v>226189</v>
      </c>
      <c r="E14" s="1"/>
      <c r="F14" s="1"/>
    </row>
    <row r="15" spans="2:6" ht="15.75">
      <c r="B15" s="1"/>
      <c r="C15" s="1"/>
      <c r="D15" s="26"/>
      <c r="E15" s="1"/>
      <c r="F15" s="17"/>
    </row>
    <row r="16" spans="1:6" ht="15.75">
      <c r="A16" s="497" t="s">
        <v>117</v>
      </c>
      <c r="B16" s="497"/>
      <c r="C16" s="497"/>
      <c r="D16" s="13">
        <v>220744</v>
      </c>
      <c r="E16" s="1" t="s">
        <v>148</v>
      </c>
      <c r="F16" s="1"/>
    </row>
    <row r="17" spans="1:6" ht="15.75">
      <c r="A17" s="1"/>
      <c r="B17" s="1"/>
      <c r="C17" s="1"/>
      <c r="D17" s="1"/>
      <c r="E17" s="1"/>
      <c r="F17" s="1"/>
    </row>
    <row r="18" spans="1:6" ht="15.75">
      <c r="A18" s="1" t="s">
        <v>1103</v>
      </c>
      <c r="B18" s="1"/>
      <c r="C18" s="1"/>
      <c r="D18" s="1"/>
      <c r="E18" s="1"/>
      <c r="F18" s="1"/>
    </row>
    <row r="19" spans="1:6" ht="15.75">
      <c r="A19" s="1" t="s">
        <v>1104</v>
      </c>
      <c r="B19" s="1"/>
      <c r="C19" s="1"/>
      <c r="D19" s="1"/>
      <c r="E19" s="1"/>
      <c r="F19" s="1"/>
    </row>
    <row r="20" spans="1:6" ht="15.75">
      <c r="A20" s="1"/>
      <c r="B20" s="1"/>
      <c r="C20" s="1"/>
      <c r="D20" s="1"/>
      <c r="E20" s="1"/>
      <c r="F20" s="1"/>
    </row>
    <row r="21" spans="1:6" ht="15.75">
      <c r="A21" s="1"/>
      <c r="B21" s="1"/>
      <c r="C21" s="1"/>
      <c r="D21" s="1"/>
      <c r="E21" s="1"/>
      <c r="F21" s="1"/>
    </row>
    <row r="22" spans="1:6" ht="15.75">
      <c r="A22" s="1"/>
      <c r="B22" s="1"/>
      <c r="C22" s="1"/>
      <c r="D22" s="1"/>
      <c r="E22" s="1"/>
      <c r="F22" s="1"/>
    </row>
    <row r="23" spans="1:6" ht="15.75">
      <c r="A23" s="1"/>
      <c r="B23" s="1"/>
      <c r="C23" s="1"/>
      <c r="D23" s="1"/>
      <c r="E23" s="1"/>
      <c r="F23" s="1"/>
    </row>
    <row r="24" spans="1:6" ht="15.75">
      <c r="A24" s="1"/>
      <c r="B24" s="1"/>
      <c r="C24" s="1"/>
      <c r="D24" s="1"/>
      <c r="E24" s="1"/>
      <c r="F24" s="1"/>
    </row>
    <row r="25" spans="1:6" ht="15.75">
      <c r="A25" s="1"/>
      <c r="B25" s="1"/>
      <c r="C25" s="1"/>
      <c r="D25" s="1"/>
      <c r="E25" s="1"/>
      <c r="F25" s="1"/>
    </row>
    <row r="26" spans="1:6" ht="15.75">
      <c r="A26" s="1"/>
      <c r="B26" s="1"/>
      <c r="C26" s="1"/>
      <c r="D26" s="1"/>
      <c r="E26" s="1"/>
      <c r="F26" s="1"/>
    </row>
  </sheetData>
  <sheetProtection password="EE36" sheet="1" formatCells="0" formatColumns="0" formatRows="0" insertColumns="0" insertRows="0" insertHyperlinks="0" deleteColumns="0" deleteRows="0" sort="0" autoFilter="0" pivotTables="0"/>
  <mergeCells count="6">
    <mergeCell ref="A8:C8"/>
    <mergeCell ref="A16:C16"/>
    <mergeCell ref="A4:D4"/>
    <mergeCell ref="A9:C9"/>
    <mergeCell ref="A12:C12"/>
    <mergeCell ref="A13:C13"/>
  </mergeCells>
  <printOptions horizontalCentered="1"/>
  <pageMargins left="0.2" right="0.2" top="0.7874015748031497" bottom="0.5905511811023623" header="0.5118110236220472" footer="0.5118110236220472"/>
  <pageSetup horizontalDpi="600" verticalDpi="600" orientation="portrait" paperSize="9" r:id="rId1"/>
  <headerFooter alignWithMargins="0">
    <oddHeader>&amp;C3. oldal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Környezetvédelmi és Vízügyi Minisztérium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janki</dc:creator>
  <cp:keywords/>
  <dc:description/>
  <cp:lastModifiedBy> </cp:lastModifiedBy>
  <cp:lastPrinted>2011-04-07T06:48:29Z</cp:lastPrinted>
  <dcterms:created xsi:type="dcterms:W3CDTF">2004-01-28T15:49:41Z</dcterms:created>
  <dcterms:modified xsi:type="dcterms:W3CDTF">2011-08-22T06:32:15Z</dcterms:modified>
  <cp:category/>
  <cp:version/>
  <cp:contentType/>
  <cp:contentStatus/>
</cp:coreProperties>
</file>